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3.xml" ContentType="application/vnd.openxmlformats-officedocument.spreadsheetml.worksheet+xml"/>
  <Override PartName="/xl/worksheets/sheet1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4"/>
  <workbookPr codeName="ThisWorkbook" defaultThemeVersion="124226"/>
  <mc:AlternateContent xmlns:mc="http://schemas.openxmlformats.org/markup-compatibility/2006">
    <mc:Choice Requires="x15">
      <x15ac:absPath xmlns:x15ac="http://schemas.microsoft.com/office/spreadsheetml/2010/11/ac" url="/Users/pedrofelipe/Documents/Infra 2023/Refurbishment of Amphitheater/"/>
    </mc:Choice>
  </mc:AlternateContent>
  <xr:revisionPtr revIDLastSave="0" documentId="13_ncr:1_{8350F88B-1F69-5947-9086-EC20B96DCF60}" xr6:coauthVersionLast="47" xr6:coauthVersionMax="47" xr10:uidLastSave="{00000000-0000-0000-0000-000000000000}"/>
  <bookViews>
    <workbookView xWindow="320" yWindow="500" windowWidth="14100" windowHeight="16080" tabRatio="809" activeTab="2" xr2:uid="{00000000-000D-0000-FFFF-FFFF00000000}"/>
  </bookViews>
  <sheets>
    <sheet name="ABC" sheetId="61" state="hidden" r:id="rId1"/>
    <sheet name="BLANK BOQ" sheetId="64" state="hidden" r:id="rId2"/>
    <sheet name="7.7." sheetId="177" r:id="rId3"/>
    <sheet name="7.6." sheetId="176" r:id="rId4"/>
    <sheet name="7.5." sheetId="175" r:id="rId5"/>
    <sheet name="7.4." sheetId="174" r:id="rId6"/>
    <sheet name="7.3." sheetId="173" r:id="rId7"/>
    <sheet name="7.2." sheetId="172" r:id="rId8"/>
    <sheet name="7.1." sheetId="104" r:id="rId9"/>
    <sheet name="6.5." sheetId="154" r:id="rId10"/>
    <sheet name="6.4." sheetId="153" r:id="rId11"/>
    <sheet name="6.3." sheetId="152" r:id="rId12"/>
    <sheet name="6.2." sheetId="151" r:id="rId13"/>
    <sheet name="6.1." sheetId="98" r:id="rId14"/>
    <sheet name="5.10." sheetId="150" r:id="rId15"/>
    <sheet name="5.9." sheetId="149" r:id="rId16"/>
    <sheet name="5.8." sheetId="148" r:id="rId17"/>
    <sheet name="5.7." sheetId="97" r:id="rId18"/>
    <sheet name="5.6." sheetId="96" r:id="rId19"/>
    <sheet name="5.5." sheetId="95" r:id="rId20"/>
    <sheet name="5.4." sheetId="94" r:id="rId21"/>
    <sheet name="5.3." sheetId="93" r:id="rId22"/>
    <sheet name="5.2." sheetId="92" r:id="rId23"/>
    <sheet name="5.1." sheetId="91" r:id="rId24"/>
    <sheet name="4.13." sheetId="147" r:id="rId25"/>
    <sheet name="4.12.7." sheetId="168" r:id="rId26"/>
    <sheet name="4.12.6." sheetId="167" r:id="rId27"/>
    <sheet name="4.12.5." sheetId="166" r:id="rId28"/>
    <sheet name="4.12.4." sheetId="165" r:id="rId29"/>
    <sheet name="4.12.3." sheetId="164" r:id="rId30"/>
    <sheet name="4.12.2." sheetId="163" r:id="rId31"/>
    <sheet name="4.12.1." sheetId="90" r:id="rId32"/>
    <sheet name="4.11.8." sheetId="162" r:id="rId33"/>
    <sheet name="4.11.7." sheetId="161" r:id="rId34"/>
    <sheet name="4.11.6." sheetId="160" r:id="rId35"/>
    <sheet name="4.11.5." sheetId="159" r:id="rId36"/>
    <sheet name="4.11.4." sheetId="158" r:id="rId37"/>
    <sheet name="4.11.3." sheetId="157" r:id="rId38"/>
    <sheet name="4.11.2." sheetId="156" r:id="rId39"/>
    <sheet name="4.11.1." sheetId="89" r:id="rId40"/>
    <sheet name="4.10." sheetId="88" r:id="rId41"/>
    <sheet name="4.9.5." sheetId="155" r:id="rId42"/>
    <sheet name="4.9.4." sheetId="146" r:id="rId43"/>
    <sheet name="4.9.3." sheetId="144" r:id="rId44"/>
    <sheet name="4.9.2." sheetId="145" r:id="rId45"/>
    <sheet name="4.9.1." sheetId="87" r:id="rId46"/>
    <sheet name="4.8.3." sheetId="142" r:id="rId47"/>
    <sheet name="4.8.2." sheetId="143" r:id="rId48"/>
    <sheet name="4.8.1." sheetId="86" r:id="rId49"/>
    <sheet name="4.7.2." sheetId="131" r:id="rId50"/>
    <sheet name="4.7.1." sheetId="85" r:id="rId51"/>
    <sheet name="4.6.5." sheetId="129" r:id="rId52"/>
    <sheet name="4.6.4." sheetId="128" r:id="rId53"/>
    <sheet name="4.6.3." sheetId="126" r:id="rId54"/>
    <sheet name="4.6.2." sheetId="127" r:id="rId55"/>
    <sheet name="4.6.1." sheetId="84" r:id="rId56"/>
    <sheet name="4.5.4." sheetId="139" r:id="rId57"/>
    <sheet name="4.5.3." sheetId="140" r:id="rId58"/>
    <sheet name="4.5.2." sheetId="141" r:id="rId59"/>
    <sheet name="4.5.1." sheetId="83" r:id="rId60"/>
    <sheet name="4.4.4." sheetId="138" r:id="rId61"/>
    <sheet name="4.4.3." sheetId="136" r:id="rId62"/>
    <sheet name="4.4.2." sheetId="137" r:id="rId63"/>
    <sheet name="4.4.1." sheetId="82" r:id="rId64"/>
    <sheet name="4.3.3." sheetId="134" r:id="rId65"/>
    <sheet name="4.3.2." sheetId="135" r:id="rId66"/>
    <sheet name="4.3.1." sheetId="81" r:id="rId67"/>
    <sheet name="4.2.3." sheetId="133" r:id="rId68"/>
    <sheet name="4.2.2." sheetId="132" r:id="rId69"/>
    <sheet name="4.2.1." sheetId="80" r:id="rId70"/>
    <sheet name="4.1.3." sheetId="124" r:id="rId71"/>
    <sheet name="4.1.2." sheetId="125" r:id="rId72"/>
    <sheet name="4.1.1." sheetId="79" r:id="rId73"/>
    <sheet name="3.8." sheetId="171" r:id="rId74"/>
    <sheet name="3.7." sheetId="78" r:id="rId75"/>
    <sheet name="3.6." sheetId="77" r:id="rId76"/>
    <sheet name="3.5." sheetId="76" r:id="rId77"/>
    <sheet name="3.4." sheetId="75" r:id="rId78"/>
    <sheet name="3.3." sheetId="74" r:id="rId79"/>
    <sheet name="3.2." sheetId="73" r:id="rId80"/>
    <sheet name="3.1." sheetId="72" r:id="rId81"/>
    <sheet name="2.4." sheetId="71" r:id="rId82"/>
    <sheet name="2.3." sheetId="70" r:id="rId83"/>
    <sheet name="2.2." sheetId="69" r:id="rId84"/>
    <sheet name="2.1." sheetId="68" r:id="rId85"/>
    <sheet name="1.4." sheetId="169" r:id="rId86"/>
    <sheet name="1.3." sheetId="67" r:id="rId87"/>
    <sheet name="1.2." sheetId="66" r:id="rId88"/>
    <sheet name="1.1." sheetId="65" r:id="rId89"/>
    <sheet name="Footings" sheetId="53" state="hidden" r:id="rId90"/>
    <sheet name="CHB Wall &amp; FTG" sheetId="58" state="hidden" r:id="rId91"/>
    <sheet name="TILES" sheetId="51" state="hidden" r:id="rId92"/>
    <sheet name="Columns" sheetId="54" state="hidden" r:id="rId93"/>
    <sheet name="Grade &amp; Tie Beams" sheetId="55" state="hidden" r:id="rId94"/>
    <sheet name="Roof Beams" sheetId="56" state="hidden" r:id="rId95"/>
    <sheet name="Trusses" sheetId="59" state="hidden" r:id="rId96"/>
    <sheet name="Masonry wall" sheetId="60" state="hidden" r:id="rId97"/>
    <sheet name="Sheet1" sheetId="41" state="hidden" r:id="rId98"/>
    <sheet name="EDUC" sheetId="40" state="hidden" r:id="rId99"/>
    <sheet name="COMPUTATION" sheetId="19" state="hidden" r:id="rId100"/>
    <sheet name="PPO Detailed Estimate" sheetId="9" state="hidden" r:id="rId101"/>
    <sheet name="IMO-PPO ESTIMATE new format" sheetId="12" state="hidden" r:id="rId102"/>
    <sheet name="IMO Detailed Estimate" sheetId="3" state="hidden" r:id="rId103"/>
    <sheet name="2blackboard" sheetId="8" state="hidden" r:id="rId104"/>
    <sheet name="3blackboard1whiteboard" sheetId="7" state="hidden" r:id="rId105"/>
    <sheet name="INITIATOR ADD ORDER REQUEST" sheetId="5" state="hidden" r:id="rId106"/>
    <sheet name="ADDITIONAL WORKS AUTHORIZATION" sheetId="6" state="hidden" r:id="rId107"/>
  </sheets>
  <externalReferences>
    <externalReference r:id="rId108"/>
  </externalReferences>
  <definedNames>
    <definedName name="_xlnm.Print_Area" localSheetId="0">ABC!$A$1:$O$466</definedName>
    <definedName name="_xlnm.Print_Area" localSheetId="106">'ADDITIONAL WORKS AUTHORIZATION'!$A$1:$K$62</definedName>
    <definedName name="_xlnm.Print_Area" localSheetId="98">EDUC!$A$1:$O$432</definedName>
    <definedName name="_xlnm.Print_Area" localSheetId="102">'IMO Detailed Estimate'!$A$1:$M$160</definedName>
    <definedName name="_xlnm.Print_Area" localSheetId="101">'IMO-PPO ESTIMATE new format'!$A$1:$M$159</definedName>
    <definedName name="_xlnm.Print_Area" localSheetId="100">'PPO Detailed Estimate'!$A$1:$I$125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0" i="169" l="1"/>
  <c r="A9" i="169"/>
  <c r="J371" i="61" l="1"/>
  <c r="K371" i="61" s="1"/>
  <c r="F371" i="61"/>
  <c r="G371" i="61" s="1"/>
  <c r="J368" i="61"/>
  <c r="G368" i="61"/>
  <c r="F368" i="61"/>
  <c r="J367" i="61"/>
  <c r="F367" i="61"/>
  <c r="G367" i="61" s="1"/>
  <c r="J366" i="61"/>
  <c r="G366" i="61"/>
  <c r="F366" i="61"/>
  <c r="J365" i="61"/>
  <c r="K365" i="61" s="1"/>
  <c r="G365" i="61"/>
  <c r="F365" i="61"/>
  <c r="J364" i="61"/>
  <c r="F364" i="61"/>
  <c r="G364" i="61" s="1"/>
  <c r="J363" i="61"/>
  <c r="G363" i="61"/>
  <c r="F363" i="61"/>
  <c r="J362" i="61"/>
  <c r="G362" i="61"/>
  <c r="K362" i="61" s="1"/>
  <c r="F362" i="61"/>
  <c r="J361" i="61"/>
  <c r="F361" i="61"/>
  <c r="G361" i="61" s="1"/>
  <c r="J360" i="61"/>
  <c r="F360" i="61"/>
  <c r="G360" i="61" s="1"/>
  <c r="J359" i="61"/>
  <c r="F359" i="61"/>
  <c r="G359" i="61" s="1"/>
  <c r="K359" i="61" s="1"/>
  <c r="J358" i="61"/>
  <c r="K358" i="61" s="1"/>
  <c r="L358" i="61" s="1"/>
  <c r="G358" i="61"/>
  <c r="J357" i="61"/>
  <c r="F357" i="61"/>
  <c r="G357" i="61" s="1"/>
  <c r="J356" i="61"/>
  <c r="K356" i="61" s="1"/>
  <c r="F356" i="61"/>
  <c r="G356" i="61" s="1"/>
  <c r="J355" i="61"/>
  <c r="F355" i="61"/>
  <c r="G355" i="61" s="1"/>
  <c r="K355" i="61" s="1"/>
  <c r="L355" i="61" s="1"/>
  <c r="J352" i="61"/>
  <c r="F352" i="61"/>
  <c r="G352" i="61" s="1"/>
  <c r="J351" i="61"/>
  <c r="K351" i="61" s="1"/>
  <c r="F351" i="61"/>
  <c r="G351" i="61" s="1"/>
  <c r="J348" i="61"/>
  <c r="G348" i="61"/>
  <c r="J347" i="61"/>
  <c r="F347" i="61"/>
  <c r="G347" i="61" s="1"/>
  <c r="J346" i="61"/>
  <c r="F346" i="61"/>
  <c r="G346" i="61" s="1"/>
  <c r="J345" i="61"/>
  <c r="F345" i="61"/>
  <c r="G345" i="61" s="1"/>
  <c r="J344" i="61"/>
  <c r="G344" i="61"/>
  <c r="F344" i="61"/>
  <c r="J343" i="61"/>
  <c r="F343" i="61"/>
  <c r="G343" i="61" s="1"/>
  <c r="J342" i="61"/>
  <c r="F342" i="61"/>
  <c r="G342" i="61" s="1"/>
  <c r="J341" i="61"/>
  <c r="K341" i="61" s="1"/>
  <c r="G341" i="61"/>
  <c r="F341" i="61"/>
  <c r="J340" i="61"/>
  <c r="F340" i="61"/>
  <c r="G340" i="61" s="1"/>
  <c r="J339" i="61"/>
  <c r="F339" i="61"/>
  <c r="G339" i="61" s="1"/>
  <c r="J336" i="61"/>
  <c r="F336" i="61"/>
  <c r="G336" i="61" s="1"/>
  <c r="J335" i="61"/>
  <c r="F335" i="61"/>
  <c r="G335" i="61" s="1"/>
  <c r="J334" i="61"/>
  <c r="F334" i="61"/>
  <c r="G334" i="61" s="1"/>
  <c r="J333" i="61"/>
  <c r="F333" i="61"/>
  <c r="G333" i="61" s="1"/>
  <c r="J332" i="61"/>
  <c r="G332" i="61"/>
  <c r="F332" i="61"/>
  <c r="J331" i="61"/>
  <c r="G331" i="61"/>
  <c r="F331" i="61"/>
  <c r="J330" i="61"/>
  <c r="F330" i="61"/>
  <c r="G330" i="61" s="1"/>
  <c r="J329" i="61"/>
  <c r="F329" i="61"/>
  <c r="G329" i="61" s="1"/>
  <c r="K328" i="61"/>
  <c r="J328" i="61"/>
  <c r="F328" i="61"/>
  <c r="G328" i="61" s="1"/>
  <c r="J327" i="61"/>
  <c r="F327" i="61"/>
  <c r="G327" i="61" s="1"/>
  <c r="J326" i="61"/>
  <c r="F326" i="61"/>
  <c r="G326" i="61" s="1"/>
  <c r="J323" i="61"/>
  <c r="K323" i="61" s="1"/>
  <c r="F323" i="61"/>
  <c r="G323" i="61" s="1"/>
  <c r="J322" i="61"/>
  <c r="F322" i="61"/>
  <c r="G322" i="61" s="1"/>
  <c r="J321" i="61"/>
  <c r="K321" i="61" s="1"/>
  <c r="L321" i="61" s="1"/>
  <c r="F321" i="61"/>
  <c r="G321" i="61" s="1"/>
  <c r="J320" i="61"/>
  <c r="F320" i="61"/>
  <c r="G320" i="61" s="1"/>
  <c r="J319" i="61"/>
  <c r="F319" i="61"/>
  <c r="G319" i="61" s="1"/>
  <c r="K319" i="61" s="1"/>
  <c r="J316" i="61"/>
  <c r="F316" i="61"/>
  <c r="G316" i="61" s="1"/>
  <c r="J315" i="61"/>
  <c r="K315" i="61" s="1"/>
  <c r="F315" i="61"/>
  <c r="G315" i="61" s="1"/>
  <c r="L315" i="61" s="1"/>
  <c r="J314" i="61"/>
  <c r="F314" i="61"/>
  <c r="G314" i="61" s="1"/>
  <c r="J313" i="61"/>
  <c r="F313" i="61"/>
  <c r="G313" i="61" s="1"/>
  <c r="J312" i="61"/>
  <c r="F312" i="61"/>
  <c r="G312" i="61" s="1"/>
  <c r="J311" i="61"/>
  <c r="F311" i="61"/>
  <c r="G311" i="61" s="1"/>
  <c r="J310" i="61"/>
  <c r="F310" i="61"/>
  <c r="G310" i="61" s="1"/>
  <c r="J309" i="61"/>
  <c r="F309" i="61"/>
  <c r="G309" i="61" s="1"/>
  <c r="J306" i="61"/>
  <c r="G306" i="61"/>
  <c r="F306" i="61"/>
  <c r="K305" i="61"/>
  <c r="J305" i="61"/>
  <c r="F305" i="61"/>
  <c r="G305" i="61" s="1"/>
  <c r="L305" i="61" s="1"/>
  <c r="M305" i="61" s="1"/>
  <c r="J304" i="61"/>
  <c r="F304" i="61"/>
  <c r="G304" i="61" s="1"/>
  <c r="J303" i="61"/>
  <c r="F303" i="61"/>
  <c r="G303" i="61" s="1"/>
  <c r="J302" i="61"/>
  <c r="F302" i="61"/>
  <c r="G302" i="61" s="1"/>
  <c r="J301" i="61"/>
  <c r="F301" i="61"/>
  <c r="G301" i="61" s="1"/>
  <c r="K301" i="61" s="1"/>
  <c r="J300" i="61"/>
  <c r="G300" i="61"/>
  <c r="F300" i="61"/>
  <c r="J299" i="61"/>
  <c r="G299" i="61"/>
  <c r="F299" i="61"/>
  <c r="J296" i="61"/>
  <c r="K296" i="61" s="1"/>
  <c r="F296" i="61"/>
  <c r="G296" i="61" s="1"/>
  <c r="J295" i="61"/>
  <c r="K295" i="61" s="1"/>
  <c r="G295" i="61"/>
  <c r="F295" i="61"/>
  <c r="J294" i="61"/>
  <c r="F294" i="61"/>
  <c r="G294" i="61" s="1"/>
  <c r="J293" i="61"/>
  <c r="F293" i="61"/>
  <c r="G293" i="61" s="1"/>
  <c r="J292" i="61"/>
  <c r="F292" i="61"/>
  <c r="G292" i="61" s="1"/>
  <c r="J289" i="61"/>
  <c r="F289" i="61"/>
  <c r="G289" i="61" s="1"/>
  <c r="J288" i="61"/>
  <c r="F288" i="61"/>
  <c r="G288" i="61" s="1"/>
  <c r="K288" i="61" s="1"/>
  <c r="J287" i="61"/>
  <c r="F287" i="61"/>
  <c r="G287" i="61" s="1"/>
  <c r="J286" i="61"/>
  <c r="F286" i="61"/>
  <c r="G286" i="61" s="1"/>
  <c r="J285" i="61"/>
  <c r="F285" i="61"/>
  <c r="G285" i="61" s="1"/>
  <c r="J284" i="61"/>
  <c r="F284" i="61"/>
  <c r="G284" i="61" s="1"/>
  <c r="K284" i="61" s="1"/>
  <c r="J283" i="61"/>
  <c r="K283" i="61" s="1"/>
  <c r="G283" i="61"/>
  <c r="F283" i="61"/>
  <c r="J282" i="61"/>
  <c r="F282" i="61"/>
  <c r="G282" i="61" s="1"/>
  <c r="J281" i="61"/>
  <c r="G281" i="61"/>
  <c r="F281" i="61"/>
  <c r="J280" i="61"/>
  <c r="F280" i="61"/>
  <c r="G280" i="61" s="1"/>
  <c r="J279" i="61"/>
  <c r="F279" i="61"/>
  <c r="G279" i="61" s="1"/>
  <c r="J278" i="61"/>
  <c r="F278" i="61"/>
  <c r="G278" i="61" s="1"/>
  <c r="K277" i="61"/>
  <c r="J277" i="61"/>
  <c r="F277" i="61"/>
  <c r="G277" i="61" s="1"/>
  <c r="J276" i="61"/>
  <c r="G276" i="61"/>
  <c r="F276" i="61"/>
  <c r="J275" i="61"/>
  <c r="K275" i="61" s="1"/>
  <c r="F275" i="61"/>
  <c r="G275" i="61" s="1"/>
  <c r="K274" i="61"/>
  <c r="J274" i="61"/>
  <c r="F274" i="61"/>
  <c r="G274" i="61" s="1"/>
  <c r="L274" i="61" s="1"/>
  <c r="M274" i="61" s="1"/>
  <c r="N274" i="61" s="1"/>
  <c r="O274" i="61" s="1"/>
  <c r="J273" i="61"/>
  <c r="F273" i="61"/>
  <c r="G273" i="61" s="1"/>
  <c r="J272" i="61"/>
  <c r="F272" i="61"/>
  <c r="G272" i="61" s="1"/>
  <c r="J271" i="61"/>
  <c r="F271" i="61"/>
  <c r="G271" i="61" s="1"/>
  <c r="B9" i="146"/>
  <c r="C11" i="133"/>
  <c r="N305" i="61" l="1"/>
  <c r="O305" i="61" s="1"/>
  <c r="K300" i="61"/>
  <c r="K331" i="61"/>
  <c r="L331" i="61" s="1"/>
  <c r="M331" i="61" s="1"/>
  <c r="N331" i="61" s="1"/>
  <c r="O331" i="61" s="1"/>
  <c r="K271" i="61"/>
  <c r="K285" i="61"/>
  <c r="K286" i="61"/>
  <c r="K312" i="61"/>
  <c r="L312" i="61" s="1"/>
  <c r="K364" i="61"/>
  <c r="K310" i="61"/>
  <c r="L310" i="61" s="1"/>
  <c r="M310" i="61" s="1"/>
  <c r="N310" i="61" s="1"/>
  <c r="O310" i="61" s="1"/>
  <c r="K281" i="61"/>
  <c r="L285" i="61"/>
  <c r="M285" i="61" s="1"/>
  <c r="N285" i="61" s="1"/>
  <c r="O285" i="61" s="1"/>
  <c r="K299" i="61"/>
  <c r="K306" i="61"/>
  <c r="L306" i="61" s="1"/>
  <c r="M306" i="61" s="1"/>
  <c r="N306" i="61" s="1"/>
  <c r="O306" i="61" s="1"/>
  <c r="K344" i="61"/>
  <c r="L275" i="61"/>
  <c r="K289" i="61"/>
  <c r="L289" i="61" s="1"/>
  <c r="M289" i="61" s="1"/>
  <c r="N289" i="61" s="1"/>
  <c r="O289" i="61" s="1"/>
  <c r="K347" i="61"/>
  <c r="L299" i="61"/>
  <c r="M299" i="61" s="1"/>
  <c r="N299" i="61" s="1"/>
  <c r="M275" i="61"/>
  <c r="N275" i="61" s="1"/>
  <c r="O275" i="61" s="1"/>
  <c r="L357" i="61"/>
  <c r="M277" i="61"/>
  <c r="N277" i="61" s="1"/>
  <c r="O277" i="61" s="1"/>
  <c r="K302" i="61"/>
  <c r="L302" i="61" s="1"/>
  <c r="K346" i="61"/>
  <c r="K276" i="61"/>
  <c r="L329" i="61"/>
  <c r="L351" i="61"/>
  <c r="M351" i="61" s="1"/>
  <c r="N351" i="61" s="1"/>
  <c r="K368" i="61"/>
  <c r="K278" i="61"/>
  <c r="L278" i="61" s="1"/>
  <c r="K293" i="61"/>
  <c r="L293" i="61" s="1"/>
  <c r="L295" i="61"/>
  <c r="M295" i="61" s="1"/>
  <c r="N295" i="61" s="1"/>
  <c r="O295" i="61" s="1"/>
  <c r="L300" i="61"/>
  <c r="M300" i="61" s="1"/>
  <c r="N300" i="61" s="1"/>
  <c r="O300" i="61" s="1"/>
  <c r="L304" i="61"/>
  <c r="K309" i="61"/>
  <c r="L309" i="61" s="1"/>
  <c r="K311" i="61"/>
  <c r="L311" i="61" s="1"/>
  <c r="K313" i="61"/>
  <c r="L313" i="61" s="1"/>
  <c r="M315" i="61"/>
  <c r="N315" i="61" s="1"/>
  <c r="O315" i="61" s="1"/>
  <c r="K320" i="61"/>
  <c r="K322" i="61"/>
  <c r="L322" i="61" s="1"/>
  <c r="K343" i="61"/>
  <c r="L344" i="61"/>
  <c r="M344" i="61" s="1"/>
  <c r="N344" i="61" s="1"/>
  <c r="O344" i="61" s="1"/>
  <c r="K348" i="61"/>
  <c r="L277" i="61"/>
  <c r="L283" i="61"/>
  <c r="M283" i="61" s="1"/>
  <c r="N283" i="61" s="1"/>
  <c r="O283" i="61" s="1"/>
  <c r="L288" i="61"/>
  <c r="M288" i="61" s="1"/>
  <c r="N288" i="61" s="1"/>
  <c r="O288" i="61" s="1"/>
  <c r="K292" i="61"/>
  <c r="K303" i="61"/>
  <c r="L328" i="61"/>
  <c r="M328" i="61" s="1"/>
  <c r="N328" i="61" s="1"/>
  <c r="O328" i="61" s="1"/>
  <c r="K329" i="61"/>
  <c r="M341" i="61"/>
  <c r="N341" i="61" s="1"/>
  <c r="O341" i="61" s="1"/>
  <c r="L345" i="61"/>
  <c r="K352" i="61"/>
  <c r="M355" i="61"/>
  <c r="N355" i="61" s="1"/>
  <c r="M358" i="61"/>
  <c r="N358" i="61" s="1"/>
  <c r="O358" i="61" s="1"/>
  <c r="K361" i="61"/>
  <c r="K280" i="61"/>
  <c r="L280" i="61" s="1"/>
  <c r="L281" i="61"/>
  <c r="M281" i="61" s="1"/>
  <c r="N281" i="61" s="1"/>
  <c r="O281" i="61" s="1"/>
  <c r="K287" i="61"/>
  <c r="L296" i="61"/>
  <c r="M296" i="61" s="1"/>
  <c r="N296" i="61" s="1"/>
  <c r="O296" i="61" s="1"/>
  <c r="K304" i="61"/>
  <c r="K316" i="61"/>
  <c r="L319" i="61"/>
  <c r="M319" i="61" s="1"/>
  <c r="N319" i="61" s="1"/>
  <c r="L323" i="61"/>
  <c r="M323" i="61" s="1"/>
  <c r="N323" i="61" s="1"/>
  <c r="O323" i="61" s="1"/>
  <c r="K326" i="61"/>
  <c r="K334" i="61"/>
  <c r="L340" i="61"/>
  <c r="K340" i="61"/>
  <c r="L341" i="61"/>
  <c r="L356" i="61"/>
  <c r="M356" i="61" s="1"/>
  <c r="N356" i="61" s="1"/>
  <c r="O356" i="61" s="1"/>
  <c r="L365" i="61"/>
  <c r="M365" i="61" s="1"/>
  <c r="N365" i="61" s="1"/>
  <c r="O365" i="61" s="1"/>
  <c r="K367" i="61"/>
  <c r="L367" i="61"/>
  <c r="L371" i="61"/>
  <c r="K272" i="61"/>
  <c r="L272" i="61" s="1"/>
  <c r="L286" i="61"/>
  <c r="M286" i="61" s="1"/>
  <c r="N286" i="61" s="1"/>
  <c r="O286" i="61" s="1"/>
  <c r="K294" i="61"/>
  <c r="L294" i="61"/>
  <c r="K314" i="61"/>
  <c r="M321" i="61"/>
  <c r="N321" i="61" s="1"/>
  <c r="O321" i="61" s="1"/>
  <c r="L362" i="61"/>
  <c r="M362" i="61" s="1"/>
  <c r="N362" i="61" s="1"/>
  <c r="O362" i="61" s="1"/>
  <c r="M371" i="61"/>
  <c r="N371" i="61" s="1"/>
  <c r="L284" i="61"/>
  <c r="M284" i="61" s="1"/>
  <c r="N284" i="61" s="1"/>
  <c r="O284" i="61" s="1"/>
  <c r="L301" i="61"/>
  <c r="M301" i="61" s="1"/>
  <c r="N301" i="61" s="1"/>
  <c r="O301" i="61" s="1"/>
  <c r="L347" i="61"/>
  <c r="M347" i="61" s="1"/>
  <c r="N347" i="61" s="1"/>
  <c r="O347" i="61" s="1"/>
  <c r="L359" i="61"/>
  <c r="M359" i="61" s="1"/>
  <c r="N359" i="61" s="1"/>
  <c r="O359" i="61" s="1"/>
  <c r="L364" i="61"/>
  <c r="M364" i="61" s="1"/>
  <c r="N364" i="61" s="1"/>
  <c r="O364" i="61" s="1"/>
  <c r="K279" i="61"/>
  <c r="K333" i="61"/>
  <c r="L333" i="61" s="1"/>
  <c r="K336" i="61"/>
  <c r="K282" i="61"/>
  <c r="L282" i="61" s="1"/>
  <c r="K339" i="61"/>
  <c r="L339" i="61" s="1"/>
  <c r="K342" i="61"/>
  <c r="L342" i="61" s="1"/>
  <c r="K345" i="61"/>
  <c r="K332" i="61"/>
  <c r="K335" i="61"/>
  <c r="L335" i="61" s="1"/>
  <c r="K273" i="61"/>
  <c r="K357" i="61"/>
  <c r="K327" i="61"/>
  <c r="K330" i="61"/>
  <c r="L330" i="61" s="1"/>
  <c r="K360" i="61"/>
  <c r="K363" i="61"/>
  <c r="K366" i="61"/>
  <c r="A58" i="61"/>
  <c r="A68" i="61" s="1"/>
  <c r="A79" i="61" s="1"/>
  <c r="C11" i="82"/>
  <c r="C11" i="80"/>
  <c r="C10" i="67"/>
  <c r="A9" i="67"/>
  <c r="C10" i="66"/>
  <c r="A9" i="66"/>
  <c r="M312" i="61" l="1"/>
  <c r="N312" i="61" s="1"/>
  <c r="O312" i="61" s="1"/>
  <c r="L271" i="61"/>
  <c r="M271" i="61" s="1"/>
  <c r="N271" i="61" s="1"/>
  <c r="O271" i="61" s="1"/>
  <c r="O319" i="61"/>
  <c r="L360" i="61"/>
  <c r="M360" i="61" s="1"/>
  <c r="N360" i="61" s="1"/>
  <c r="M303" i="61"/>
  <c r="N303" i="61" s="1"/>
  <c r="O303" i="61" s="1"/>
  <c r="L303" i="61"/>
  <c r="L368" i="61"/>
  <c r="M368" i="61" s="1"/>
  <c r="N368" i="61" s="1"/>
  <c r="O368" i="61" s="1"/>
  <c r="O351" i="61"/>
  <c r="M342" i="61"/>
  <c r="N342" i="61" s="1"/>
  <c r="O342" i="61" s="1"/>
  <c r="M272" i="61"/>
  <c r="N272" i="61" s="1"/>
  <c r="O272" i="61" s="1"/>
  <c r="M361" i="61"/>
  <c r="N361" i="61" s="1"/>
  <c r="O361" i="61" s="1"/>
  <c r="L334" i="61"/>
  <c r="M334" i="61" s="1"/>
  <c r="N334" i="61" s="1"/>
  <c r="O334" i="61" s="1"/>
  <c r="L361" i="61"/>
  <c r="M346" i="61"/>
  <c r="N346" i="61" s="1"/>
  <c r="O346" i="61" s="1"/>
  <c r="L327" i="61"/>
  <c r="M327" i="61" s="1"/>
  <c r="N327" i="61" s="1"/>
  <c r="O327" i="61" s="1"/>
  <c r="M357" i="61"/>
  <c r="N357" i="61" s="1"/>
  <c r="O357" i="61" s="1"/>
  <c r="M339" i="61"/>
  <c r="N339" i="61" s="1"/>
  <c r="M340" i="61"/>
  <c r="N340" i="61" s="1"/>
  <c r="O340" i="61" s="1"/>
  <c r="M304" i="61"/>
  <c r="N304" i="61" s="1"/>
  <c r="O304" i="61" s="1"/>
  <c r="M329" i="61"/>
  <c r="N329" i="61" s="1"/>
  <c r="O329" i="61" s="1"/>
  <c r="L292" i="61"/>
  <c r="M292" i="61" s="1"/>
  <c r="N292" i="61" s="1"/>
  <c r="L343" i="61"/>
  <c r="M343" i="61" s="1"/>
  <c r="N343" i="61" s="1"/>
  <c r="O343" i="61" s="1"/>
  <c r="M313" i="61"/>
  <c r="N313" i="61" s="1"/>
  <c r="O313" i="61" s="1"/>
  <c r="M293" i="61"/>
  <c r="N293" i="61" s="1"/>
  <c r="O293" i="61" s="1"/>
  <c r="L346" i="61"/>
  <c r="L314" i="61"/>
  <c r="M314" i="61" s="1"/>
  <c r="N314" i="61" s="1"/>
  <c r="O314" i="61" s="1"/>
  <c r="M332" i="61"/>
  <c r="N332" i="61" s="1"/>
  <c r="O332" i="61" s="1"/>
  <c r="M322" i="61"/>
  <c r="N322" i="61" s="1"/>
  <c r="O322" i="61" s="1"/>
  <c r="M282" i="61"/>
  <c r="N282" i="61" s="1"/>
  <c r="O282" i="61" s="1"/>
  <c r="M311" i="61"/>
  <c r="N311" i="61" s="1"/>
  <c r="O311" i="61" s="1"/>
  <c r="L348" i="61"/>
  <c r="M348" i="61" s="1"/>
  <c r="N348" i="61" s="1"/>
  <c r="O348" i="61" s="1"/>
  <c r="L320" i="61"/>
  <c r="M320" i="61" s="1"/>
  <c r="N320" i="61" s="1"/>
  <c r="O299" i="61"/>
  <c r="M333" i="61"/>
  <c r="N333" i="61" s="1"/>
  <c r="O333" i="61" s="1"/>
  <c r="M330" i="61"/>
  <c r="N330" i="61" s="1"/>
  <c r="O330" i="61" s="1"/>
  <c r="M345" i="61"/>
  <c r="N345" i="61" s="1"/>
  <c r="O345" i="61" s="1"/>
  <c r="L279" i="61"/>
  <c r="M279" i="61" s="1"/>
  <c r="N279" i="61" s="1"/>
  <c r="O279" i="61" s="1"/>
  <c r="M280" i="61"/>
  <c r="N280" i="61" s="1"/>
  <c r="O280" i="61" s="1"/>
  <c r="L273" i="61"/>
  <c r="M273" i="61" s="1"/>
  <c r="N273" i="61" s="1"/>
  <c r="O273" i="61" s="1"/>
  <c r="O371" i="61"/>
  <c r="N372" i="61"/>
  <c r="P372" i="61" s="1"/>
  <c r="O355" i="61"/>
  <c r="L366" i="61"/>
  <c r="M366" i="61" s="1"/>
  <c r="N366" i="61" s="1"/>
  <c r="O366" i="61" s="1"/>
  <c r="L332" i="61"/>
  <c r="L363" i="61"/>
  <c r="M363" i="61" s="1"/>
  <c r="N363" i="61" s="1"/>
  <c r="O363" i="61" s="1"/>
  <c r="M335" i="61"/>
  <c r="N335" i="61" s="1"/>
  <c r="O335" i="61" s="1"/>
  <c r="M336" i="61"/>
  <c r="N336" i="61" s="1"/>
  <c r="O336" i="61" s="1"/>
  <c r="M294" i="61"/>
  <c r="N294" i="61" s="1"/>
  <c r="O294" i="61" s="1"/>
  <c r="M367" i="61"/>
  <c r="N367" i="61" s="1"/>
  <c r="O367" i="61" s="1"/>
  <c r="L336" i="61"/>
  <c r="M352" i="61"/>
  <c r="N352" i="61" s="1"/>
  <c r="O352" i="61" s="1"/>
  <c r="L316" i="61"/>
  <c r="M316" i="61" s="1"/>
  <c r="N316" i="61" s="1"/>
  <c r="O316" i="61" s="1"/>
  <c r="L287" i="61"/>
  <c r="M287" i="61" s="1"/>
  <c r="N287" i="61" s="1"/>
  <c r="O287" i="61" s="1"/>
  <c r="L352" i="61"/>
  <c r="L326" i="61"/>
  <c r="M326" i="61" s="1"/>
  <c r="N326" i="61" s="1"/>
  <c r="M309" i="61"/>
  <c r="N309" i="61" s="1"/>
  <c r="M278" i="61"/>
  <c r="N278" i="61" s="1"/>
  <c r="O278" i="61" s="1"/>
  <c r="M302" i="61"/>
  <c r="N302" i="61" s="1"/>
  <c r="O302" i="61" s="1"/>
  <c r="L276" i="61"/>
  <c r="M276" i="61" s="1"/>
  <c r="N276" i="61" s="1"/>
  <c r="O276" i="61" s="1"/>
  <c r="G118" i="61"/>
  <c r="G69" i="61"/>
  <c r="G59" i="61"/>
  <c r="E420" i="61"/>
  <c r="F406" i="61"/>
  <c r="G406" i="61" s="1"/>
  <c r="J406" i="61"/>
  <c r="J405" i="61"/>
  <c r="F405" i="61"/>
  <c r="G405" i="61" s="1"/>
  <c r="J403" i="61"/>
  <c r="F403" i="61"/>
  <c r="G403" i="61" s="1"/>
  <c r="E114" i="61"/>
  <c r="F114" i="61" s="1"/>
  <c r="E88" i="61"/>
  <c r="F88" i="61" s="1"/>
  <c r="B114" i="61"/>
  <c r="C159" i="61"/>
  <c r="E81" i="61"/>
  <c r="E70" i="61"/>
  <c r="B46" i="60"/>
  <c r="J54" i="61"/>
  <c r="G54" i="61"/>
  <c r="B236" i="61"/>
  <c r="C97" i="61"/>
  <c r="E236" i="61"/>
  <c r="F236" i="61" s="1"/>
  <c r="F224" i="61"/>
  <c r="N353" i="61" l="1"/>
  <c r="P353" i="61" s="1"/>
  <c r="O292" i="61"/>
  <c r="N297" i="61"/>
  <c r="P297" i="61" s="1"/>
  <c r="O320" i="61"/>
  <c r="N324" i="61"/>
  <c r="P324" i="61" s="1"/>
  <c r="O360" i="61"/>
  <c r="N369" i="61"/>
  <c r="P369" i="61" s="1"/>
  <c r="N290" i="61"/>
  <c r="P290" i="61" s="1"/>
  <c r="N337" i="61"/>
  <c r="P337" i="61" s="1"/>
  <c r="O326" i="61"/>
  <c r="O309" i="61"/>
  <c r="N317" i="61"/>
  <c r="P317" i="61" s="1"/>
  <c r="N307" i="61"/>
  <c r="P307" i="61" s="1"/>
  <c r="N349" i="61"/>
  <c r="P349" i="61" s="1"/>
  <c r="O339" i="61"/>
  <c r="K406" i="61"/>
  <c r="K405" i="61"/>
  <c r="K403" i="61"/>
  <c r="K54" i="61"/>
  <c r="L54" i="61" s="1"/>
  <c r="L406" i="61" l="1"/>
  <c r="M406" i="61" s="1"/>
  <c r="N406" i="61" s="1"/>
  <c r="O406" i="61" s="1"/>
  <c r="L405" i="61"/>
  <c r="M405" i="61" s="1"/>
  <c r="N405" i="61" s="1"/>
  <c r="O405" i="61" s="1"/>
  <c r="L403" i="61"/>
  <c r="M403" i="61" s="1"/>
  <c r="N403" i="61" s="1"/>
  <c r="O403" i="61" s="1"/>
  <c r="M54" i="61"/>
  <c r="N54" i="61" s="1"/>
  <c r="O54" i="61" s="1"/>
  <c r="G88" i="61" l="1"/>
  <c r="G114" i="61"/>
  <c r="J114" i="61"/>
  <c r="J88" i="61"/>
  <c r="B36" i="60"/>
  <c r="B35" i="60"/>
  <c r="J164" i="61"/>
  <c r="F164" i="61"/>
  <c r="G164" i="61" s="1"/>
  <c r="J163" i="61"/>
  <c r="K114" i="61" l="1"/>
  <c r="K88" i="61"/>
  <c r="K164" i="61"/>
  <c r="F163" i="61"/>
  <c r="G163" i="61" s="1"/>
  <c r="L114" i="61" l="1"/>
  <c r="M114" i="61" s="1"/>
  <c r="N114" i="61" s="1"/>
  <c r="O114" i="61" s="1"/>
  <c r="L88" i="61"/>
  <c r="M88" i="61" s="1"/>
  <c r="N88" i="61" s="1"/>
  <c r="O88" i="61" s="1"/>
  <c r="L164" i="61"/>
  <c r="M164" i="61" s="1"/>
  <c r="N164" i="61" s="1"/>
  <c r="O164" i="61" s="1"/>
  <c r="K163" i="61"/>
  <c r="L163" i="61" l="1"/>
  <c r="M163" i="61" s="1"/>
  <c r="N163" i="61" s="1"/>
  <c r="N165" i="61" s="1"/>
  <c r="O163" i="61" l="1"/>
  <c r="P165" i="61"/>
  <c r="J261" i="61" l="1"/>
  <c r="G261" i="61"/>
  <c r="J260" i="61"/>
  <c r="G260" i="61"/>
  <c r="K260" i="61" l="1"/>
  <c r="L260" i="61" s="1"/>
  <c r="M260" i="61" s="1"/>
  <c r="N260" i="61" s="1"/>
  <c r="O260" i="61" s="1"/>
  <c r="K261" i="61"/>
  <c r="L261" i="61" s="1"/>
  <c r="M261" i="61" s="1"/>
  <c r="N261" i="61" s="1"/>
  <c r="J256" i="61"/>
  <c r="G256" i="61"/>
  <c r="J434" i="61"/>
  <c r="G434" i="61"/>
  <c r="J433" i="61"/>
  <c r="F433" i="61"/>
  <c r="G433" i="61" s="1"/>
  <c r="J432" i="61"/>
  <c r="F432" i="61"/>
  <c r="G432" i="61" s="1"/>
  <c r="J431" i="61"/>
  <c r="F431" i="61"/>
  <c r="G431" i="61" s="1"/>
  <c r="J430" i="61"/>
  <c r="G430" i="61"/>
  <c r="J429" i="61"/>
  <c r="F429" i="61"/>
  <c r="G429" i="61" s="1"/>
  <c r="J428" i="61"/>
  <c r="G428" i="61"/>
  <c r="J427" i="61"/>
  <c r="G427" i="61"/>
  <c r="J426" i="61"/>
  <c r="G426" i="61"/>
  <c r="J425" i="61"/>
  <c r="G425" i="61"/>
  <c r="J424" i="61"/>
  <c r="G424" i="61"/>
  <c r="J423" i="61"/>
  <c r="G423" i="61"/>
  <c r="J420" i="61"/>
  <c r="F420" i="61"/>
  <c r="G420" i="61" s="1"/>
  <c r="J419" i="61"/>
  <c r="F419" i="61"/>
  <c r="G419" i="61" s="1"/>
  <c r="C419" i="61"/>
  <c r="J418" i="61"/>
  <c r="F418" i="61"/>
  <c r="G418" i="61" s="1"/>
  <c r="C418" i="61"/>
  <c r="J417" i="61"/>
  <c r="F417" i="61"/>
  <c r="G417" i="61" s="1"/>
  <c r="C417" i="61"/>
  <c r="J415" i="61"/>
  <c r="G415" i="61"/>
  <c r="C415" i="61"/>
  <c r="J414" i="61"/>
  <c r="G414" i="61"/>
  <c r="C414" i="61"/>
  <c r="J412" i="61"/>
  <c r="F412" i="61"/>
  <c r="G412" i="61" s="1"/>
  <c r="C412" i="61"/>
  <c r="J411" i="61"/>
  <c r="G411" i="61"/>
  <c r="C411" i="61"/>
  <c r="J410" i="61"/>
  <c r="G410" i="61"/>
  <c r="C410" i="61"/>
  <c r="A409" i="61"/>
  <c r="A422" i="61" s="1"/>
  <c r="J407" i="61"/>
  <c r="G407" i="61"/>
  <c r="J404" i="61"/>
  <c r="F404" i="61"/>
  <c r="G404" i="61" s="1"/>
  <c r="J402" i="61"/>
  <c r="F402" i="61"/>
  <c r="G402" i="61" s="1"/>
  <c r="J401" i="61"/>
  <c r="F401" i="61"/>
  <c r="G401" i="61" s="1"/>
  <c r="J400" i="61"/>
  <c r="G400" i="61"/>
  <c r="J399" i="61"/>
  <c r="G399" i="61"/>
  <c r="J398" i="61"/>
  <c r="G398" i="61"/>
  <c r="J395" i="61"/>
  <c r="F395" i="61"/>
  <c r="G395" i="61" s="1"/>
  <c r="J394" i="61"/>
  <c r="F394" i="61"/>
  <c r="G394" i="61" s="1"/>
  <c r="J393" i="61"/>
  <c r="F393" i="61"/>
  <c r="G393" i="61" s="1"/>
  <c r="J392" i="61"/>
  <c r="F392" i="61"/>
  <c r="G392" i="61" s="1"/>
  <c r="J391" i="61"/>
  <c r="F391" i="61"/>
  <c r="G391" i="61" s="1"/>
  <c r="J390" i="61"/>
  <c r="F390" i="61"/>
  <c r="G390" i="61" s="1"/>
  <c r="J387" i="61"/>
  <c r="F387" i="61"/>
  <c r="G387" i="61" s="1"/>
  <c r="J386" i="61"/>
  <c r="F386" i="61"/>
  <c r="G386" i="61" s="1"/>
  <c r="J385" i="61"/>
  <c r="F385" i="61"/>
  <c r="G385" i="61" s="1"/>
  <c r="J384" i="61"/>
  <c r="F384" i="61"/>
  <c r="G384" i="61" s="1"/>
  <c r="J383" i="61"/>
  <c r="F383" i="61"/>
  <c r="G383" i="61" s="1"/>
  <c r="J382" i="61"/>
  <c r="F382" i="61"/>
  <c r="G382" i="61" s="1"/>
  <c r="J381" i="61"/>
  <c r="F381" i="61"/>
  <c r="G381" i="61" s="1"/>
  <c r="J380" i="61"/>
  <c r="F380" i="61"/>
  <c r="G380" i="61" s="1"/>
  <c r="J379" i="61"/>
  <c r="F379" i="61"/>
  <c r="G379" i="61" s="1"/>
  <c r="J378" i="61"/>
  <c r="F378" i="61"/>
  <c r="G378" i="61" s="1"/>
  <c r="J377" i="61"/>
  <c r="F377" i="61"/>
  <c r="G377" i="61" s="1"/>
  <c r="J376" i="61"/>
  <c r="F376" i="61"/>
  <c r="G376" i="61" s="1"/>
  <c r="J375" i="61"/>
  <c r="F375" i="61"/>
  <c r="G375" i="61" s="1"/>
  <c r="A374" i="61"/>
  <c r="A389" i="61" s="1"/>
  <c r="J267" i="61"/>
  <c r="G267" i="61"/>
  <c r="J266" i="61"/>
  <c r="F266" i="61"/>
  <c r="G266" i="61" s="1"/>
  <c r="C266" i="61"/>
  <c r="J265" i="61"/>
  <c r="F265" i="61"/>
  <c r="G265" i="61" s="1"/>
  <c r="J264" i="61"/>
  <c r="F264" i="61"/>
  <c r="G264" i="61" s="1"/>
  <c r="J259" i="61"/>
  <c r="G259" i="61"/>
  <c r="J258" i="61"/>
  <c r="G258" i="61"/>
  <c r="J257" i="61"/>
  <c r="G257" i="61"/>
  <c r="J253" i="61"/>
  <c r="F253" i="61"/>
  <c r="G253" i="61" s="1"/>
  <c r="J252" i="61"/>
  <c r="F252" i="61"/>
  <c r="G252" i="61" s="1"/>
  <c r="J251" i="61"/>
  <c r="E251" i="61"/>
  <c r="F251" i="61" s="1"/>
  <c r="G251" i="61" s="1"/>
  <c r="J248" i="61"/>
  <c r="F248" i="61"/>
  <c r="G248" i="61" s="1"/>
  <c r="J247" i="61"/>
  <c r="F247" i="61"/>
  <c r="G247" i="61" s="1"/>
  <c r="C247" i="61"/>
  <c r="J244" i="61"/>
  <c r="F244" i="61"/>
  <c r="G244" i="61" s="1"/>
  <c r="J243" i="61"/>
  <c r="F243" i="61"/>
  <c r="G243" i="61" s="1"/>
  <c r="J242" i="61"/>
  <c r="E242" i="61"/>
  <c r="F242" i="61" s="1"/>
  <c r="J241" i="61"/>
  <c r="F241" i="61"/>
  <c r="G241" i="61" s="1"/>
  <c r="J240" i="61"/>
  <c r="E240" i="61"/>
  <c r="F240" i="61" s="1"/>
  <c r="J239" i="61"/>
  <c r="F239" i="61"/>
  <c r="G239" i="61" s="1"/>
  <c r="J238" i="61"/>
  <c r="F238" i="61"/>
  <c r="G238" i="61" s="1"/>
  <c r="J237" i="61"/>
  <c r="F237" i="61"/>
  <c r="G237" i="61" s="1"/>
  <c r="C237" i="61"/>
  <c r="J236" i="61"/>
  <c r="G236" i="61"/>
  <c r="C236" i="61"/>
  <c r="J235" i="61"/>
  <c r="G235" i="61"/>
  <c r="C235" i="61"/>
  <c r="J232" i="61"/>
  <c r="G232" i="61"/>
  <c r="J231" i="61"/>
  <c r="F231" i="61"/>
  <c r="G231" i="61" s="1"/>
  <c r="J230" i="61"/>
  <c r="F230" i="61"/>
  <c r="G230" i="61" s="1"/>
  <c r="J229" i="61"/>
  <c r="F229" i="61"/>
  <c r="G229" i="61" s="1"/>
  <c r="J228" i="61"/>
  <c r="F228" i="61"/>
  <c r="G228" i="61" s="1"/>
  <c r="J227" i="61"/>
  <c r="F227" i="61"/>
  <c r="G227" i="61" s="1"/>
  <c r="J226" i="61"/>
  <c r="F226" i="61"/>
  <c r="G226" i="61" s="1"/>
  <c r="J225" i="61"/>
  <c r="F225" i="61"/>
  <c r="G225" i="61" s="1"/>
  <c r="J224" i="61"/>
  <c r="G224" i="61"/>
  <c r="C224" i="61"/>
  <c r="J223" i="61"/>
  <c r="F223" i="61"/>
  <c r="C223" i="61"/>
  <c r="J222" i="61"/>
  <c r="F222" i="61"/>
  <c r="G222" i="61" s="1"/>
  <c r="J219" i="61"/>
  <c r="F219" i="61"/>
  <c r="G219" i="61" s="1"/>
  <c r="J218" i="61"/>
  <c r="F218" i="61"/>
  <c r="G218" i="61" s="1"/>
  <c r="J217" i="61"/>
  <c r="F217" i="61"/>
  <c r="G217" i="61" s="1"/>
  <c r="J216" i="61"/>
  <c r="F216" i="61"/>
  <c r="G216" i="61" s="1"/>
  <c r="J215" i="61"/>
  <c r="F215" i="61"/>
  <c r="G215" i="61" s="1"/>
  <c r="J214" i="61"/>
  <c r="F214" i="61"/>
  <c r="G214" i="61" s="1"/>
  <c r="J213" i="61"/>
  <c r="F213" i="61"/>
  <c r="G213" i="61" s="1"/>
  <c r="J212" i="61"/>
  <c r="F212" i="61"/>
  <c r="G212" i="61" s="1"/>
  <c r="J211" i="61"/>
  <c r="E211" i="61"/>
  <c r="F211" i="61" s="1"/>
  <c r="J210" i="61"/>
  <c r="G210" i="61"/>
  <c r="C210" i="61"/>
  <c r="J207" i="61"/>
  <c r="F207" i="61"/>
  <c r="G207" i="61" s="1"/>
  <c r="J206" i="61"/>
  <c r="F206" i="61"/>
  <c r="G206" i="61" s="1"/>
  <c r="J205" i="61"/>
  <c r="F205" i="61"/>
  <c r="G205" i="61" s="1"/>
  <c r="J204" i="61"/>
  <c r="F204" i="61"/>
  <c r="G204" i="61" s="1"/>
  <c r="C204" i="61"/>
  <c r="J203" i="61"/>
  <c r="F203" i="61"/>
  <c r="G203" i="61" s="1"/>
  <c r="C203" i="61"/>
  <c r="J202" i="61"/>
  <c r="F202" i="61"/>
  <c r="G202" i="61" s="1"/>
  <c r="C202" i="61"/>
  <c r="C206" i="61" s="1"/>
  <c r="J199" i="61"/>
  <c r="G199" i="61"/>
  <c r="J198" i="61"/>
  <c r="G198" i="61"/>
  <c r="J197" i="61"/>
  <c r="G197" i="61"/>
  <c r="C197" i="61"/>
  <c r="J196" i="61"/>
  <c r="F196" i="61"/>
  <c r="G196" i="61" s="1"/>
  <c r="C196" i="61"/>
  <c r="J195" i="61"/>
  <c r="F195" i="61"/>
  <c r="G195" i="61" s="1"/>
  <c r="C195" i="61"/>
  <c r="J194" i="61"/>
  <c r="F194" i="61"/>
  <c r="G194" i="61" s="1"/>
  <c r="C194" i="61"/>
  <c r="A193" i="61"/>
  <c r="A201" i="61" s="1"/>
  <c r="J190" i="61"/>
  <c r="G190" i="61"/>
  <c r="J187" i="61"/>
  <c r="E187" i="61"/>
  <c r="F187" i="61" s="1"/>
  <c r="G187" i="61" s="1"/>
  <c r="J186" i="61"/>
  <c r="E186" i="61"/>
  <c r="F186" i="61" s="1"/>
  <c r="J185" i="61"/>
  <c r="E185" i="61"/>
  <c r="J184" i="61"/>
  <c r="E184" i="61"/>
  <c r="F184" i="61" s="1"/>
  <c r="J183" i="61"/>
  <c r="E183" i="61"/>
  <c r="F183" i="61" s="1"/>
  <c r="G183" i="61" s="1"/>
  <c r="J182" i="61"/>
  <c r="E182" i="61"/>
  <c r="F182" i="61" s="1"/>
  <c r="J181" i="61"/>
  <c r="E181" i="61"/>
  <c r="J178" i="61"/>
  <c r="G178" i="61"/>
  <c r="J177" i="61"/>
  <c r="J176" i="61"/>
  <c r="G176" i="61"/>
  <c r="J175" i="61"/>
  <c r="J174" i="61"/>
  <c r="E174" i="61"/>
  <c r="E175" i="61" s="1"/>
  <c r="G175" i="61" s="1"/>
  <c r="J173" i="61"/>
  <c r="E173" i="61"/>
  <c r="G173" i="61" s="1"/>
  <c r="J172" i="61"/>
  <c r="E172" i="61"/>
  <c r="G172" i="61" s="1"/>
  <c r="J171" i="61"/>
  <c r="E171" i="61"/>
  <c r="G171" i="61" s="1"/>
  <c r="J168" i="61"/>
  <c r="G168" i="61"/>
  <c r="C168" i="61"/>
  <c r="J167" i="61"/>
  <c r="F167" i="61"/>
  <c r="G167" i="61" s="1"/>
  <c r="J160" i="61"/>
  <c r="F160" i="61"/>
  <c r="G160" i="61" s="1"/>
  <c r="J159" i="61"/>
  <c r="J156" i="61"/>
  <c r="G156" i="61"/>
  <c r="C156" i="61"/>
  <c r="J155" i="61"/>
  <c r="G155" i="61"/>
  <c r="C155" i="61"/>
  <c r="J154" i="61"/>
  <c r="G154" i="61"/>
  <c r="C154" i="61"/>
  <c r="J151" i="61"/>
  <c r="G151" i="61"/>
  <c r="C151" i="61"/>
  <c r="J150" i="61"/>
  <c r="G150" i="61"/>
  <c r="C150" i="61"/>
  <c r="J149" i="61"/>
  <c r="G149" i="61"/>
  <c r="C149" i="61"/>
  <c r="J146" i="61"/>
  <c r="G146" i="61"/>
  <c r="J145" i="61"/>
  <c r="G145" i="61"/>
  <c r="C145" i="61"/>
  <c r="J144" i="61"/>
  <c r="G144" i="61"/>
  <c r="C144" i="61"/>
  <c r="J143" i="61"/>
  <c r="G143" i="61"/>
  <c r="J140" i="61"/>
  <c r="G140" i="61"/>
  <c r="C140" i="61"/>
  <c r="J139" i="61"/>
  <c r="G139" i="61"/>
  <c r="C139" i="61"/>
  <c r="J138" i="61"/>
  <c r="G138" i="61"/>
  <c r="C138" i="61"/>
  <c r="J137" i="61"/>
  <c r="G137" i="61"/>
  <c r="C137" i="61"/>
  <c r="J136" i="61"/>
  <c r="G136" i="61"/>
  <c r="C136" i="61"/>
  <c r="J135" i="61"/>
  <c r="G135" i="61"/>
  <c r="C135" i="61"/>
  <c r="J132" i="61"/>
  <c r="G132" i="61"/>
  <c r="J129" i="61"/>
  <c r="G129" i="61"/>
  <c r="C129" i="61"/>
  <c r="J128" i="61"/>
  <c r="G128" i="61"/>
  <c r="C128" i="61"/>
  <c r="J124" i="61"/>
  <c r="F124" i="61"/>
  <c r="G124" i="61" s="1"/>
  <c r="J123" i="61"/>
  <c r="G123" i="61"/>
  <c r="C123" i="61"/>
  <c r="J122" i="61"/>
  <c r="F122" i="61"/>
  <c r="E122" i="61"/>
  <c r="J121" i="61"/>
  <c r="F121" i="61"/>
  <c r="E121" i="61"/>
  <c r="J119" i="61"/>
  <c r="F119" i="61"/>
  <c r="E119" i="61"/>
  <c r="C119" i="61"/>
  <c r="J118" i="61"/>
  <c r="K118" i="61" s="1"/>
  <c r="J115" i="61"/>
  <c r="F115" i="61"/>
  <c r="G115" i="61" s="1"/>
  <c r="J113" i="61"/>
  <c r="G113" i="61"/>
  <c r="J112" i="61"/>
  <c r="F112" i="61"/>
  <c r="E112" i="61"/>
  <c r="C112" i="61"/>
  <c r="J111" i="61"/>
  <c r="F111" i="61"/>
  <c r="E111" i="61"/>
  <c r="C111" i="61"/>
  <c r="J109" i="61"/>
  <c r="F109" i="61"/>
  <c r="E109" i="61"/>
  <c r="C109" i="61"/>
  <c r="J106" i="61"/>
  <c r="F106" i="61"/>
  <c r="G106" i="61" s="1"/>
  <c r="J105" i="61"/>
  <c r="G105" i="61"/>
  <c r="C105" i="61"/>
  <c r="J104" i="61"/>
  <c r="F104" i="61"/>
  <c r="E104" i="61"/>
  <c r="J103" i="61"/>
  <c r="F103" i="61"/>
  <c r="J101" i="61"/>
  <c r="C101" i="61"/>
  <c r="J98" i="61"/>
  <c r="F98" i="61"/>
  <c r="G98" i="61" s="1"/>
  <c r="J97" i="61"/>
  <c r="G97" i="61"/>
  <c r="J96" i="61"/>
  <c r="G96" i="61"/>
  <c r="J95" i="61"/>
  <c r="G95" i="61"/>
  <c r="J94" i="61"/>
  <c r="F94" i="61"/>
  <c r="E94" i="61"/>
  <c r="C94" i="61"/>
  <c r="C95" i="61" s="1"/>
  <c r="J92" i="61"/>
  <c r="F92" i="61"/>
  <c r="E92" i="61"/>
  <c r="C92" i="61"/>
  <c r="J89" i="61"/>
  <c r="F89" i="61"/>
  <c r="G89" i="61" s="1"/>
  <c r="J87" i="61"/>
  <c r="G87" i="61"/>
  <c r="C87" i="61"/>
  <c r="J86" i="61"/>
  <c r="G86" i="61"/>
  <c r="J85" i="61"/>
  <c r="G85" i="61"/>
  <c r="C85" i="61"/>
  <c r="J84" i="61"/>
  <c r="F84" i="61"/>
  <c r="E84" i="61"/>
  <c r="J83" i="61"/>
  <c r="J81" i="61"/>
  <c r="F81" i="61"/>
  <c r="J80" i="61"/>
  <c r="F80" i="61"/>
  <c r="G80" i="61" s="1"/>
  <c r="J77" i="61"/>
  <c r="F77" i="61"/>
  <c r="G77" i="61" s="1"/>
  <c r="J76" i="61"/>
  <c r="G76" i="61"/>
  <c r="J75" i="61"/>
  <c r="G75" i="61"/>
  <c r="J74" i="61"/>
  <c r="G74" i="61"/>
  <c r="J73" i="61"/>
  <c r="C73" i="61"/>
  <c r="J72" i="61"/>
  <c r="F72" i="61"/>
  <c r="F73" i="61" s="1"/>
  <c r="E72" i="61"/>
  <c r="C72" i="61"/>
  <c r="J70" i="61"/>
  <c r="F70" i="61"/>
  <c r="E101" i="61"/>
  <c r="C70" i="61"/>
  <c r="C76" i="61" s="1"/>
  <c r="J69" i="61"/>
  <c r="K69" i="61" s="1"/>
  <c r="J66" i="61"/>
  <c r="F66" i="61"/>
  <c r="G66" i="61" s="1"/>
  <c r="J65" i="61"/>
  <c r="G65" i="61"/>
  <c r="J64" i="61"/>
  <c r="G64" i="61"/>
  <c r="C64" i="61"/>
  <c r="J63" i="61"/>
  <c r="G63" i="61"/>
  <c r="C63" i="61"/>
  <c r="J62" i="61"/>
  <c r="G62" i="61"/>
  <c r="J60" i="61"/>
  <c r="G60" i="61"/>
  <c r="C60" i="61"/>
  <c r="J59" i="61"/>
  <c r="K59" i="61" s="1"/>
  <c r="L59" i="61" s="1"/>
  <c r="M59" i="61" s="1"/>
  <c r="C59" i="61"/>
  <c r="A91" i="61"/>
  <c r="A100" i="61" s="1"/>
  <c r="A108" i="61" s="1"/>
  <c r="A117" i="61" s="1"/>
  <c r="J55" i="61"/>
  <c r="G55" i="61"/>
  <c r="J53" i="61"/>
  <c r="G53" i="61"/>
  <c r="J52" i="61"/>
  <c r="G52" i="61"/>
  <c r="A52" i="61"/>
  <c r="J49" i="61"/>
  <c r="G49" i="61"/>
  <c r="J48" i="61"/>
  <c r="G48" i="61"/>
  <c r="J47" i="61"/>
  <c r="G47" i="61"/>
  <c r="A47" i="61"/>
  <c r="A48" i="61" s="1"/>
  <c r="A49" i="61" s="1"/>
  <c r="K80" i="61" l="1"/>
  <c r="L80" i="61" s="1"/>
  <c r="M80" i="61" s="1"/>
  <c r="N80" i="61" s="1"/>
  <c r="A53" i="61"/>
  <c r="A54" i="61" s="1"/>
  <c r="A55" i="61" s="1"/>
  <c r="O261" i="61"/>
  <c r="G72" i="61"/>
  <c r="K72" i="61" s="1"/>
  <c r="K256" i="61"/>
  <c r="L256" i="61" s="1"/>
  <c r="M256" i="61" s="1"/>
  <c r="N256" i="61" s="1"/>
  <c r="K248" i="61"/>
  <c r="L248" i="61" s="1"/>
  <c r="M248" i="61" s="1"/>
  <c r="N248" i="61" s="1"/>
  <c r="G109" i="61"/>
  <c r="K109" i="61" s="1"/>
  <c r="K86" i="61"/>
  <c r="L86" i="61" s="1"/>
  <c r="M86" i="61" s="1"/>
  <c r="N86" i="61" s="1"/>
  <c r="O86" i="61" s="1"/>
  <c r="G94" i="61"/>
  <c r="K94" i="61" s="1"/>
  <c r="K113" i="61"/>
  <c r="L113" i="61" s="1"/>
  <c r="M113" i="61" s="1"/>
  <c r="K267" i="61"/>
  <c r="L267" i="61" s="1"/>
  <c r="K135" i="61"/>
  <c r="L135" i="61" s="1"/>
  <c r="K215" i="61"/>
  <c r="L215" i="61" s="1"/>
  <c r="M215" i="61" s="1"/>
  <c r="N215" i="61" s="1"/>
  <c r="O215" i="61" s="1"/>
  <c r="K96" i="61"/>
  <c r="L96" i="61" s="1"/>
  <c r="M96" i="61" s="1"/>
  <c r="N96" i="61" s="1"/>
  <c r="O96" i="61" s="1"/>
  <c r="K139" i="61"/>
  <c r="L139" i="61" s="1"/>
  <c r="M139" i="61" s="1"/>
  <c r="N139" i="61" s="1"/>
  <c r="O139" i="61" s="1"/>
  <c r="G104" i="61"/>
  <c r="K104" i="61" s="1"/>
  <c r="K259" i="61"/>
  <c r="L259" i="61" s="1"/>
  <c r="M259" i="61" s="1"/>
  <c r="N259" i="61" s="1"/>
  <c r="O259" i="61" s="1"/>
  <c r="K434" i="61"/>
  <c r="L434" i="61" s="1"/>
  <c r="K65" i="61"/>
  <c r="L65" i="61" s="1"/>
  <c r="M65" i="61" s="1"/>
  <c r="G70" i="61"/>
  <c r="K70" i="61" s="1"/>
  <c r="L70" i="61" s="1"/>
  <c r="K143" i="61"/>
  <c r="L143" i="61" s="1"/>
  <c r="M143" i="61" s="1"/>
  <c r="N143" i="61" s="1"/>
  <c r="K394" i="61"/>
  <c r="L394" i="61" s="1"/>
  <c r="M394" i="61" s="1"/>
  <c r="N394" i="61" s="1"/>
  <c r="O394" i="61" s="1"/>
  <c r="K399" i="61"/>
  <c r="L399" i="61" s="1"/>
  <c r="K402" i="61"/>
  <c r="L402" i="61" s="1"/>
  <c r="M402" i="61" s="1"/>
  <c r="N402" i="61" s="1"/>
  <c r="O402" i="61" s="1"/>
  <c r="K232" i="61"/>
  <c r="L232" i="61" s="1"/>
  <c r="M232" i="61" s="1"/>
  <c r="N232" i="61" s="1"/>
  <c r="O232" i="61" s="1"/>
  <c r="K375" i="61"/>
  <c r="L375" i="61" s="1"/>
  <c r="M375" i="61" s="1"/>
  <c r="N375" i="61" s="1"/>
  <c r="O375" i="61" s="1"/>
  <c r="K145" i="61"/>
  <c r="L145" i="61" s="1"/>
  <c r="M145" i="61" s="1"/>
  <c r="N145" i="61" s="1"/>
  <c r="O145" i="61" s="1"/>
  <c r="K168" i="61"/>
  <c r="L168" i="61" s="1"/>
  <c r="M168" i="61" s="1"/>
  <c r="N168" i="61" s="1"/>
  <c r="O168" i="61" s="1"/>
  <c r="K257" i="61"/>
  <c r="L257" i="61" s="1"/>
  <c r="K252" i="61"/>
  <c r="L252" i="61" s="1"/>
  <c r="M252" i="61" s="1"/>
  <c r="N252" i="61" s="1"/>
  <c r="O252" i="61" s="1"/>
  <c r="K430" i="61"/>
  <c r="L430" i="61" s="1"/>
  <c r="M430" i="61" s="1"/>
  <c r="N430" i="61" s="1"/>
  <c r="O430" i="61" s="1"/>
  <c r="C65" i="61"/>
  <c r="G84" i="61"/>
  <c r="K84" i="61" s="1"/>
  <c r="K176" i="61"/>
  <c r="L176" i="61" s="1"/>
  <c r="M176" i="61" s="1"/>
  <c r="N176" i="61" s="1"/>
  <c r="O176" i="61" s="1"/>
  <c r="K407" i="61"/>
  <c r="L407" i="61" s="1"/>
  <c r="M407" i="61" s="1"/>
  <c r="N407" i="61" s="1"/>
  <c r="O407" i="61" s="1"/>
  <c r="K423" i="61"/>
  <c r="L423" i="61" s="1"/>
  <c r="M423" i="61" s="1"/>
  <c r="N423" i="61" s="1"/>
  <c r="K225" i="61"/>
  <c r="L225" i="61" s="1"/>
  <c r="C146" i="61"/>
  <c r="K178" i="61"/>
  <c r="L178" i="61" s="1"/>
  <c r="M178" i="61" s="1"/>
  <c r="N178" i="61" s="1"/>
  <c r="O178" i="61" s="1"/>
  <c r="G186" i="61"/>
  <c r="K186" i="61" s="1"/>
  <c r="K197" i="61"/>
  <c r="L197" i="61" s="1"/>
  <c r="M197" i="61" s="1"/>
  <c r="N197" i="61" s="1"/>
  <c r="O197" i="61" s="1"/>
  <c r="K55" i="61"/>
  <c r="L55" i="61" s="1"/>
  <c r="G112" i="61"/>
  <c r="K112" i="61" s="1"/>
  <c r="G121" i="61"/>
  <c r="K121" i="61" s="1"/>
  <c r="E177" i="61"/>
  <c r="G177" i="61" s="1"/>
  <c r="K177" i="61" s="1"/>
  <c r="L177" i="61" s="1"/>
  <c r="K64" i="61"/>
  <c r="L64" i="61" s="1"/>
  <c r="M64" i="61" s="1"/>
  <c r="N64" i="61" s="1"/>
  <c r="O64" i="61" s="1"/>
  <c r="K74" i="61"/>
  <c r="L74" i="61" s="1"/>
  <c r="M74" i="61" s="1"/>
  <c r="K87" i="61"/>
  <c r="L87" i="61" s="1"/>
  <c r="M87" i="61" s="1"/>
  <c r="N87" i="61" s="1"/>
  <c r="O87" i="61" s="1"/>
  <c r="K97" i="61"/>
  <c r="L97" i="61" s="1"/>
  <c r="M97" i="61" s="1"/>
  <c r="N97" i="61" s="1"/>
  <c r="O97" i="61" s="1"/>
  <c r="K105" i="61"/>
  <c r="L105" i="61" s="1"/>
  <c r="M105" i="61" s="1"/>
  <c r="N105" i="61" s="1"/>
  <c r="O105" i="61" s="1"/>
  <c r="K146" i="61"/>
  <c r="L146" i="61" s="1"/>
  <c r="K150" i="61"/>
  <c r="L150" i="61" s="1"/>
  <c r="M150" i="61" s="1"/>
  <c r="N150" i="61" s="1"/>
  <c r="O150" i="61" s="1"/>
  <c r="K154" i="61"/>
  <c r="L154" i="61" s="1"/>
  <c r="M154" i="61" s="1"/>
  <c r="N154" i="61" s="1"/>
  <c r="K156" i="61"/>
  <c r="L156" i="61" s="1"/>
  <c r="M156" i="61" s="1"/>
  <c r="N156" i="61" s="1"/>
  <c r="O156" i="61" s="1"/>
  <c r="K171" i="61"/>
  <c r="L171" i="61" s="1"/>
  <c r="M171" i="61" s="1"/>
  <c r="N171" i="61" s="1"/>
  <c r="G174" i="61"/>
  <c r="K174" i="61" s="1"/>
  <c r="L174" i="61" s="1"/>
  <c r="M174" i="61" s="1"/>
  <c r="N174" i="61" s="1"/>
  <c r="O174" i="61" s="1"/>
  <c r="G182" i="61"/>
  <c r="K182" i="61" s="1"/>
  <c r="K198" i="61"/>
  <c r="L198" i="61" s="1"/>
  <c r="M198" i="61" s="1"/>
  <c r="N198" i="61" s="1"/>
  <c r="O198" i="61" s="1"/>
  <c r="K202" i="61"/>
  <c r="L202" i="61" s="1"/>
  <c r="M202" i="61" s="1"/>
  <c r="N202" i="61" s="1"/>
  <c r="K258" i="61"/>
  <c r="L258" i="61" s="1"/>
  <c r="K398" i="61"/>
  <c r="L398" i="61" s="1"/>
  <c r="M398" i="61" s="1"/>
  <c r="N398" i="61" s="1"/>
  <c r="K426" i="61"/>
  <c r="L426" i="61" s="1"/>
  <c r="M426" i="61" s="1"/>
  <c r="N426" i="61" s="1"/>
  <c r="O426" i="61" s="1"/>
  <c r="K432" i="61"/>
  <c r="L432" i="61" s="1"/>
  <c r="M432" i="61" s="1"/>
  <c r="N432" i="61" s="1"/>
  <c r="O432" i="61" s="1"/>
  <c r="N59" i="61"/>
  <c r="K132" i="61"/>
  <c r="L132" i="61" s="1"/>
  <c r="M132" i="61" s="1"/>
  <c r="K196" i="61"/>
  <c r="L196" i="61" s="1"/>
  <c r="M196" i="61" s="1"/>
  <c r="N196" i="61" s="1"/>
  <c r="O196" i="61" s="1"/>
  <c r="K253" i="61"/>
  <c r="L253" i="61" s="1"/>
  <c r="M253" i="61" s="1"/>
  <c r="N253" i="61" s="1"/>
  <c r="O253" i="61" s="1"/>
  <c r="K377" i="61"/>
  <c r="L377" i="61" s="1"/>
  <c r="M377" i="61" s="1"/>
  <c r="N377" i="61" s="1"/>
  <c r="O377" i="61" s="1"/>
  <c r="K401" i="61"/>
  <c r="L401" i="61" s="1"/>
  <c r="M401" i="61" s="1"/>
  <c r="N401" i="61" s="1"/>
  <c r="O401" i="61" s="1"/>
  <c r="K62" i="61"/>
  <c r="L62" i="61" s="1"/>
  <c r="M62" i="61" s="1"/>
  <c r="N62" i="61" s="1"/>
  <c r="C113" i="61"/>
  <c r="K199" i="61"/>
  <c r="L199" i="61" s="1"/>
  <c r="M199" i="61" s="1"/>
  <c r="N199" i="61" s="1"/>
  <c r="O199" i="61" s="1"/>
  <c r="K378" i="61"/>
  <c r="L378" i="61" s="1"/>
  <c r="M378" i="61" s="1"/>
  <c r="N378" i="61" s="1"/>
  <c r="O378" i="61" s="1"/>
  <c r="K380" i="61"/>
  <c r="L380" i="61" s="1"/>
  <c r="M380" i="61" s="1"/>
  <c r="N380" i="61" s="1"/>
  <c r="O380" i="61" s="1"/>
  <c r="C74" i="61"/>
  <c r="G81" i="61"/>
  <c r="K81" i="61" s="1"/>
  <c r="G111" i="61"/>
  <c r="K111" i="61" s="1"/>
  <c r="K414" i="61"/>
  <c r="L414" i="61" s="1"/>
  <c r="M414" i="61" s="1"/>
  <c r="N414" i="61" s="1"/>
  <c r="O414" i="61" s="1"/>
  <c r="G122" i="61"/>
  <c r="K122" i="61" s="1"/>
  <c r="K382" i="61"/>
  <c r="L382" i="61" s="1"/>
  <c r="M382" i="61" s="1"/>
  <c r="N382" i="61" s="1"/>
  <c r="O382" i="61" s="1"/>
  <c r="K385" i="61"/>
  <c r="L385" i="61" s="1"/>
  <c r="M385" i="61" s="1"/>
  <c r="N385" i="61" s="1"/>
  <c r="O385" i="61" s="1"/>
  <c r="K264" i="61"/>
  <c r="L264" i="61" s="1"/>
  <c r="M264" i="61" s="1"/>
  <c r="N264" i="61" s="1"/>
  <c r="K204" i="61"/>
  <c r="L204" i="61" s="1"/>
  <c r="M204" i="61" s="1"/>
  <c r="N204" i="61" s="1"/>
  <c r="O204" i="61" s="1"/>
  <c r="K123" i="61"/>
  <c r="L123" i="61" s="1"/>
  <c r="M123" i="61" s="1"/>
  <c r="N123" i="61" s="1"/>
  <c r="O123" i="61" s="1"/>
  <c r="K85" i="61"/>
  <c r="L85" i="61" s="1"/>
  <c r="M85" i="61" s="1"/>
  <c r="N85" i="61" s="1"/>
  <c r="O85" i="61" s="1"/>
  <c r="K219" i="61"/>
  <c r="K379" i="61"/>
  <c r="K419" i="61"/>
  <c r="L419" i="61" s="1"/>
  <c r="M419" i="61" s="1"/>
  <c r="N419" i="61" s="1"/>
  <c r="O419" i="61" s="1"/>
  <c r="K175" i="61"/>
  <c r="K60" i="61"/>
  <c r="L60" i="61" s="1"/>
  <c r="M60" i="61" s="1"/>
  <c r="N60" i="61" s="1"/>
  <c r="O60" i="61" s="1"/>
  <c r="E73" i="61"/>
  <c r="G73" i="61" s="1"/>
  <c r="K128" i="61"/>
  <c r="L128" i="61" s="1"/>
  <c r="M128" i="61" s="1"/>
  <c r="N128" i="61" s="1"/>
  <c r="G184" i="61"/>
  <c r="K184" i="61" s="1"/>
  <c r="L184" i="61" s="1"/>
  <c r="K212" i="61"/>
  <c r="L212" i="61" s="1"/>
  <c r="M212" i="61" s="1"/>
  <c r="N212" i="61" s="1"/>
  <c r="O212" i="61" s="1"/>
  <c r="K214" i="61"/>
  <c r="L214" i="61" s="1"/>
  <c r="M214" i="61" s="1"/>
  <c r="N214" i="61" s="1"/>
  <c r="O214" i="61" s="1"/>
  <c r="K236" i="61"/>
  <c r="L236" i="61" s="1"/>
  <c r="M236" i="61" s="1"/>
  <c r="N236" i="61" s="1"/>
  <c r="K243" i="61"/>
  <c r="L243" i="61" s="1"/>
  <c r="K247" i="61"/>
  <c r="L247" i="61" s="1"/>
  <c r="M247" i="61" s="1"/>
  <c r="N247" i="61" s="1"/>
  <c r="K412" i="61"/>
  <c r="L412" i="61" s="1"/>
  <c r="M412" i="61" s="1"/>
  <c r="N412" i="61" s="1"/>
  <c r="O412" i="61" s="1"/>
  <c r="K194" i="61"/>
  <c r="L194" i="61" s="1"/>
  <c r="M194" i="61" s="1"/>
  <c r="N194" i="61" s="1"/>
  <c r="K48" i="61"/>
  <c r="L48" i="61" s="1"/>
  <c r="M48" i="61" s="1"/>
  <c r="N48" i="61" s="1"/>
  <c r="O48" i="61" s="1"/>
  <c r="K52" i="61"/>
  <c r="L52" i="61" s="1"/>
  <c r="M52" i="61" s="1"/>
  <c r="N52" i="61" s="1"/>
  <c r="G119" i="61"/>
  <c r="K119" i="61" s="1"/>
  <c r="K138" i="61"/>
  <c r="L138" i="61" s="1"/>
  <c r="M138" i="61" s="1"/>
  <c r="N138" i="61" s="1"/>
  <c r="O138" i="61" s="1"/>
  <c r="K151" i="61"/>
  <c r="L151" i="61" s="1"/>
  <c r="M151" i="61" s="1"/>
  <c r="N151" i="61" s="1"/>
  <c r="O151" i="61" s="1"/>
  <c r="K230" i="61"/>
  <c r="L230" i="61" s="1"/>
  <c r="M230" i="61" s="1"/>
  <c r="N230" i="61" s="1"/>
  <c r="O230" i="61" s="1"/>
  <c r="K415" i="61"/>
  <c r="L415" i="61" s="1"/>
  <c r="M415" i="61" s="1"/>
  <c r="N415" i="61" s="1"/>
  <c r="O415" i="61" s="1"/>
  <c r="K424" i="61"/>
  <c r="L424" i="61" s="1"/>
  <c r="M424" i="61" s="1"/>
  <c r="N424" i="61" s="1"/>
  <c r="O424" i="61" s="1"/>
  <c r="K431" i="61"/>
  <c r="L431" i="61" s="1"/>
  <c r="M431" i="61" s="1"/>
  <c r="N431" i="61" s="1"/>
  <c r="O431" i="61" s="1"/>
  <c r="K160" i="61"/>
  <c r="L160" i="61" s="1"/>
  <c r="K222" i="61"/>
  <c r="L222" i="61" s="1"/>
  <c r="M222" i="61" s="1"/>
  <c r="N222" i="61" s="1"/>
  <c r="K376" i="61"/>
  <c r="L376" i="61" s="1"/>
  <c r="M376" i="61" s="1"/>
  <c r="N376" i="61" s="1"/>
  <c r="O376" i="61" s="1"/>
  <c r="K386" i="61"/>
  <c r="L386" i="61" s="1"/>
  <c r="M386" i="61" s="1"/>
  <c r="N386" i="61" s="1"/>
  <c r="O386" i="61" s="1"/>
  <c r="K393" i="61"/>
  <c r="L393" i="61" s="1"/>
  <c r="M393" i="61" s="1"/>
  <c r="N393" i="61" s="1"/>
  <c r="O393" i="61" s="1"/>
  <c r="K76" i="61"/>
  <c r="L76" i="61" s="1"/>
  <c r="G92" i="61"/>
  <c r="K92" i="61" s="1"/>
  <c r="K137" i="61"/>
  <c r="L137" i="61" s="1"/>
  <c r="M137" i="61" s="1"/>
  <c r="N137" i="61" s="1"/>
  <c r="O137" i="61" s="1"/>
  <c r="K140" i="61"/>
  <c r="L140" i="61" s="1"/>
  <c r="M140" i="61" s="1"/>
  <c r="N140" i="61" s="1"/>
  <c r="O140" i="61" s="1"/>
  <c r="F159" i="61"/>
  <c r="G159" i="61" s="1"/>
  <c r="K159" i="61" s="1"/>
  <c r="K226" i="61"/>
  <c r="L226" i="61" s="1"/>
  <c r="K231" i="61"/>
  <c r="L231" i="61" s="1"/>
  <c r="M231" i="61" s="1"/>
  <c r="N231" i="61" s="1"/>
  <c r="O231" i="61" s="1"/>
  <c r="K239" i="61"/>
  <c r="L239" i="61" s="1"/>
  <c r="M239" i="61" s="1"/>
  <c r="N239" i="61" s="1"/>
  <c r="O239" i="61" s="1"/>
  <c r="K244" i="61"/>
  <c r="L244" i="61" s="1"/>
  <c r="M244" i="61" s="1"/>
  <c r="N244" i="61" s="1"/>
  <c r="K411" i="61"/>
  <c r="L411" i="61" s="1"/>
  <c r="M411" i="61" s="1"/>
  <c r="N411" i="61" s="1"/>
  <c r="O411" i="61" s="1"/>
  <c r="K427" i="61"/>
  <c r="L427" i="61" s="1"/>
  <c r="M427" i="61" s="1"/>
  <c r="N427" i="61" s="1"/>
  <c r="O427" i="61" s="1"/>
  <c r="K429" i="61"/>
  <c r="L429" i="61" s="1"/>
  <c r="K53" i="61"/>
  <c r="L53" i="61" s="1"/>
  <c r="K47" i="61"/>
  <c r="L47" i="61" s="1"/>
  <c r="M47" i="61" s="1"/>
  <c r="N47" i="61" s="1"/>
  <c r="K136" i="61"/>
  <c r="L136" i="61" s="1"/>
  <c r="M136" i="61" s="1"/>
  <c r="N136" i="61" s="1"/>
  <c r="K183" i="61"/>
  <c r="L183" i="61" s="1"/>
  <c r="K187" i="61"/>
  <c r="L187" i="61" s="1"/>
  <c r="M187" i="61" s="1"/>
  <c r="N187" i="61" s="1"/>
  <c r="O187" i="61" s="1"/>
  <c r="K205" i="61"/>
  <c r="L205" i="61" s="1"/>
  <c r="M205" i="61" s="1"/>
  <c r="N205" i="61" s="1"/>
  <c r="O205" i="61" s="1"/>
  <c r="G223" i="61"/>
  <c r="K223" i="61" s="1"/>
  <c r="L223" i="61" s="1"/>
  <c r="K265" i="61"/>
  <c r="L265" i="61" s="1"/>
  <c r="M265" i="61" s="1"/>
  <c r="N265" i="61" s="1"/>
  <c r="O265" i="61" s="1"/>
  <c r="K404" i="61"/>
  <c r="L404" i="61" s="1"/>
  <c r="M404" i="61" s="1"/>
  <c r="N404" i="61" s="1"/>
  <c r="O404" i="61" s="1"/>
  <c r="K417" i="61"/>
  <c r="L417" i="61" s="1"/>
  <c r="K418" i="61"/>
  <c r="L418" i="61" s="1"/>
  <c r="M418" i="61" s="1"/>
  <c r="N418" i="61" s="1"/>
  <c r="O418" i="61" s="1"/>
  <c r="K428" i="61"/>
  <c r="L428" i="61" s="1"/>
  <c r="K115" i="61"/>
  <c r="K77" i="61"/>
  <c r="L77" i="61" s="1"/>
  <c r="L118" i="61"/>
  <c r="M118" i="61" s="1"/>
  <c r="N118" i="61" s="1"/>
  <c r="K49" i="61"/>
  <c r="K75" i="61"/>
  <c r="L75" i="61" s="1"/>
  <c r="E83" i="61"/>
  <c r="F101" i="61"/>
  <c r="G101" i="61" s="1"/>
  <c r="K66" i="61"/>
  <c r="F83" i="61"/>
  <c r="K95" i="61"/>
  <c r="L95" i="61" s="1"/>
  <c r="K173" i="61"/>
  <c r="F185" i="61"/>
  <c r="G185" i="61" s="1"/>
  <c r="K216" i="61"/>
  <c r="K89" i="61"/>
  <c r="L89" i="61" s="1"/>
  <c r="K149" i="61"/>
  <c r="L149" i="61" s="1"/>
  <c r="K98" i="61"/>
  <c r="K106" i="61"/>
  <c r="C132" i="61"/>
  <c r="K237" i="61"/>
  <c r="L237" i="61" s="1"/>
  <c r="K63" i="61"/>
  <c r="L69" i="61"/>
  <c r="M69" i="61" s="1"/>
  <c r="N69" i="61" s="1"/>
  <c r="K124" i="61"/>
  <c r="K172" i="61"/>
  <c r="L172" i="61" s="1"/>
  <c r="K190" i="61"/>
  <c r="K229" i="61"/>
  <c r="K144" i="61"/>
  <c r="L144" i="61" s="1"/>
  <c r="K155" i="61"/>
  <c r="L155" i="61" s="1"/>
  <c r="F181" i="61"/>
  <c r="G181" i="61" s="1"/>
  <c r="K181" i="61" s="1"/>
  <c r="K203" i="61"/>
  <c r="L203" i="61" s="1"/>
  <c r="K218" i="61"/>
  <c r="L218" i="61" s="1"/>
  <c r="K129" i="61"/>
  <c r="L129" i="61" s="1"/>
  <c r="K167" i="61"/>
  <c r="K206" i="61"/>
  <c r="L206" i="61" s="1"/>
  <c r="K227" i="61"/>
  <c r="K235" i="61"/>
  <c r="L235" i="61" s="1"/>
  <c r="K266" i="61"/>
  <c r="L266" i="61" s="1"/>
  <c r="K195" i="61"/>
  <c r="L195" i="61" s="1"/>
  <c r="K207" i="61"/>
  <c r="L207" i="61" s="1"/>
  <c r="K213" i="61"/>
  <c r="L213" i="61" s="1"/>
  <c r="K217" i="61"/>
  <c r="K228" i="61"/>
  <c r="L228" i="61" s="1"/>
  <c r="K238" i="61"/>
  <c r="L238" i="61" s="1"/>
  <c r="K392" i="61"/>
  <c r="K210" i="61"/>
  <c r="G211" i="61"/>
  <c r="G240" i="61"/>
  <c r="K241" i="61"/>
  <c r="L241" i="61" s="1"/>
  <c r="K224" i="61"/>
  <c r="K410" i="61"/>
  <c r="K433" i="61"/>
  <c r="K400" i="61"/>
  <c r="L400" i="61" s="1"/>
  <c r="G242" i="61"/>
  <c r="K251" i="61"/>
  <c r="L251" i="61" s="1"/>
  <c r="K381" i="61"/>
  <c r="K383" i="61"/>
  <c r="L383" i="61" s="1"/>
  <c r="K384" i="61"/>
  <c r="L384" i="61" s="1"/>
  <c r="K387" i="61"/>
  <c r="L387" i="61" s="1"/>
  <c r="K390" i="61"/>
  <c r="K395" i="61"/>
  <c r="L395" i="61" s="1"/>
  <c r="K425" i="61"/>
  <c r="K391" i="61"/>
  <c r="L391" i="61" s="1"/>
  <c r="K420" i="61"/>
  <c r="L420" i="61" s="1"/>
  <c r="N249" i="61" l="1"/>
  <c r="P249" i="61" s="1"/>
  <c r="O264" i="61"/>
  <c r="O256" i="61"/>
  <c r="O59" i="61"/>
  <c r="O136" i="61"/>
  <c r="O248" i="61"/>
  <c r="O244" i="61"/>
  <c r="M267" i="61"/>
  <c r="N267" i="61" s="1"/>
  <c r="M257" i="61"/>
  <c r="N257" i="61" s="1"/>
  <c r="O257" i="61" s="1"/>
  <c r="M258" i="61"/>
  <c r="N258" i="61" s="1"/>
  <c r="O258" i="61" s="1"/>
  <c r="M135" i="61"/>
  <c r="N135" i="61" s="1"/>
  <c r="O135" i="61" s="1"/>
  <c r="M146" i="61"/>
  <c r="N146" i="61" s="1"/>
  <c r="O146" i="61" s="1"/>
  <c r="M434" i="61"/>
  <c r="N434" i="61" s="1"/>
  <c r="O434" i="61" s="1"/>
  <c r="L182" i="61"/>
  <c r="M182" i="61" s="1"/>
  <c r="N182" i="61" s="1"/>
  <c r="O182" i="61" s="1"/>
  <c r="N65" i="61"/>
  <c r="O65" i="61" s="1"/>
  <c r="N74" i="61"/>
  <c r="O74" i="61" s="1"/>
  <c r="L122" i="61"/>
  <c r="M122" i="61" s="1"/>
  <c r="N122" i="61" s="1"/>
  <c r="O122" i="61" s="1"/>
  <c r="N113" i="61"/>
  <c r="O113" i="61" s="1"/>
  <c r="L84" i="61"/>
  <c r="M84" i="61" s="1"/>
  <c r="N84" i="61" s="1"/>
  <c r="O84" i="61" s="1"/>
  <c r="M55" i="61"/>
  <c r="N55" i="61" s="1"/>
  <c r="O55" i="61" s="1"/>
  <c r="M399" i="61"/>
  <c r="N399" i="61" s="1"/>
  <c r="O399" i="61" s="1"/>
  <c r="L186" i="61"/>
  <c r="M186" i="61" s="1"/>
  <c r="N186" i="61" s="1"/>
  <c r="O186" i="61" s="1"/>
  <c r="M225" i="61"/>
  <c r="N225" i="61" s="1"/>
  <c r="O225" i="61" s="1"/>
  <c r="L379" i="61"/>
  <c r="M379" i="61" s="1"/>
  <c r="N379" i="61" s="1"/>
  <c r="O379" i="61" s="1"/>
  <c r="M53" i="61"/>
  <c r="N53" i="61" s="1"/>
  <c r="O53" i="61" s="1"/>
  <c r="M183" i="61"/>
  <c r="N183" i="61" s="1"/>
  <c r="O183" i="61" s="1"/>
  <c r="M417" i="61"/>
  <c r="N417" i="61" s="1"/>
  <c r="O417" i="61" s="1"/>
  <c r="M243" i="61"/>
  <c r="N243" i="61" s="1"/>
  <c r="O243" i="61" s="1"/>
  <c r="M160" i="61"/>
  <c r="N160" i="61" s="1"/>
  <c r="O160" i="61" s="1"/>
  <c r="L109" i="61"/>
  <c r="M109" i="61" s="1"/>
  <c r="N109" i="61" s="1"/>
  <c r="L119" i="61"/>
  <c r="M119" i="61" s="1"/>
  <c r="N119" i="61" s="1"/>
  <c r="O119" i="61" s="1"/>
  <c r="M428" i="61"/>
  <c r="N428" i="61" s="1"/>
  <c r="O428" i="61" s="1"/>
  <c r="M429" i="61"/>
  <c r="N429" i="61" s="1"/>
  <c r="O429" i="61" s="1"/>
  <c r="M226" i="61"/>
  <c r="N226" i="61" s="1"/>
  <c r="O226" i="61" s="1"/>
  <c r="L111" i="61"/>
  <c r="M111" i="61" s="1"/>
  <c r="N111" i="61" s="1"/>
  <c r="K73" i="61"/>
  <c r="L73" i="61" s="1"/>
  <c r="M73" i="61" s="1"/>
  <c r="N73" i="61" s="1"/>
  <c r="O73" i="61" s="1"/>
  <c r="M76" i="61"/>
  <c r="N76" i="61" s="1"/>
  <c r="O76" i="61" s="1"/>
  <c r="L219" i="61"/>
  <c r="M219" i="61" s="1"/>
  <c r="N219" i="61" s="1"/>
  <c r="L175" i="61"/>
  <c r="M175" i="61" s="1"/>
  <c r="N175" i="61" s="1"/>
  <c r="O175" i="61" s="1"/>
  <c r="O247" i="61"/>
  <c r="O69" i="61"/>
  <c r="O143" i="61"/>
  <c r="O423" i="61"/>
  <c r="O194" i="61"/>
  <c r="O118" i="61"/>
  <c r="O80" i="61"/>
  <c r="O62" i="61"/>
  <c r="O222" i="61"/>
  <c r="K101" i="61"/>
  <c r="L101" i="61" s="1"/>
  <c r="O47" i="61"/>
  <c r="L390" i="61"/>
  <c r="M390" i="61" s="1"/>
  <c r="N390" i="61" s="1"/>
  <c r="M391" i="61"/>
  <c r="N391" i="61" s="1"/>
  <c r="O391" i="61" s="1"/>
  <c r="O398" i="61"/>
  <c r="M384" i="61"/>
  <c r="N384" i="61" s="1"/>
  <c r="O384" i="61" s="1"/>
  <c r="K242" i="61"/>
  <c r="L242" i="61" s="1"/>
  <c r="M241" i="61"/>
  <c r="N241" i="61" s="1"/>
  <c r="O241" i="61" s="1"/>
  <c r="O171" i="61"/>
  <c r="M95" i="61"/>
  <c r="N95" i="61" s="1"/>
  <c r="O95" i="61" s="1"/>
  <c r="O128" i="61"/>
  <c r="O52" i="61"/>
  <c r="M395" i="61"/>
  <c r="N395" i="61" s="1"/>
  <c r="O395" i="61" s="1"/>
  <c r="M383" i="61"/>
  <c r="N383" i="61" s="1"/>
  <c r="O383" i="61" s="1"/>
  <c r="M400" i="61"/>
  <c r="N400" i="61" s="1"/>
  <c r="O400" i="61" s="1"/>
  <c r="K240" i="61"/>
  <c r="L392" i="61"/>
  <c r="M392" i="61" s="1"/>
  <c r="N392" i="61" s="1"/>
  <c r="O392" i="61" s="1"/>
  <c r="M213" i="61"/>
  <c r="N213" i="61" s="1"/>
  <c r="O213" i="61" s="1"/>
  <c r="M266" i="61"/>
  <c r="N266" i="61" s="1"/>
  <c r="O266" i="61" s="1"/>
  <c r="M129" i="61"/>
  <c r="N129" i="61" s="1"/>
  <c r="O129" i="61" s="1"/>
  <c r="M237" i="61"/>
  <c r="N237" i="61" s="1"/>
  <c r="O237" i="61" s="1"/>
  <c r="L216" i="61"/>
  <c r="M216" i="61" s="1"/>
  <c r="N216" i="61" s="1"/>
  <c r="O216" i="61" s="1"/>
  <c r="L49" i="61"/>
  <c r="M49" i="61" s="1"/>
  <c r="N49" i="61" s="1"/>
  <c r="N50" i="61" s="1"/>
  <c r="M77" i="61"/>
  <c r="N77" i="61" s="1"/>
  <c r="O77" i="61" s="1"/>
  <c r="L92" i="61"/>
  <c r="M92" i="61" s="1"/>
  <c r="N92" i="61" s="1"/>
  <c r="L94" i="61"/>
  <c r="M94" i="61" s="1"/>
  <c r="N94" i="61" s="1"/>
  <c r="O94" i="61" s="1"/>
  <c r="K211" i="61"/>
  <c r="L211" i="61" s="1"/>
  <c r="M207" i="61"/>
  <c r="N207" i="61" s="1"/>
  <c r="O207" i="61" s="1"/>
  <c r="M218" i="61"/>
  <c r="N218" i="61" s="1"/>
  <c r="O218" i="61" s="1"/>
  <c r="M144" i="61"/>
  <c r="N144" i="61" s="1"/>
  <c r="O144" i="61" s="1"/>
  <c r="M172" i="61"/>
  <c r="N172" i="61" s="1"/>
  <c r="O172" i="61" s="1"/>
  <c r="O236" i="61"/>
  <c r="M149" i="61"/>
  <c r="N149" i="61" s="1"/>
  <c r="N152" i="61" s="1"/>
  <c r="L98" i="61"/>
  <c r="M98" i="61" s="1"/>
  <c r="N98" i="61" s="1"/>
  <c r="O98" i="61" s="1"/>
  <c r="M235" i="61"/>
  <c r="N235" i="61" s="1"/>
  <c r="O235" i="61" s="1"/>
  <c r="L181" i="61"/>
  <c r="M181" i="61" s="1"/>
  <c r="N181" i="61" s="1"/>
  <c r="L224" i="61"/>
  <c r="M224" i="61" s="1"/>
  <c r="N224" i="61" s="1"/>
  <c r="O202" i="61"/>
  <c r="E103" i="61"/>
  <c r="G103" i="61" s="1"/>
  <c r="G83" i="61"/>
  <c r="N132" i="61"/>
  <c r="N133" i="61" s="1"/>
  <c r="M70" i="61"/>
  <c r="N70" i="61" s="1"/>
  <c r="O70" i="61" s="1"/>
  <c r="L115" i="61"/>
  <c r="M115" i="61" s="1"/>
  <c r="N115" i="61" s="1"/>
  <c r="O115" i="61" s="1"/>
  <c r="L124" i="61"/>
  <c r="M124" i="61" s="1"/>
  <c r="N124" i="61" s="1"/>
  <c r="O124" i="61" s="1"/>
  <c r="L104" i="61"/>
  <c r="M104" i="61" s="1"/>
  <c r="N104" i="61" s="1"/>
  <c r="O104" i="61" s="1"/>
  <c r="L425" i="61"/>
  <c r="M425" i="61" s="1"/>
  <c r="N425" i="61" s="1"/>
  <c r="O425" i="61" s="1"/>
  <c r="M195" i="61"/>
  <c r="N195" i="61" s="1"/>
  <c r="O195" i="61" s="1"/>
  <c r="M238" i="61"/>
  <c r="N238" i="61" s="1"/>
  <c r="O238" i="61" s="1"/>
  <c r="L167" i="61"/>
  <c r="M167" i="61" s="1"/>
  <c r="N167" i="61" s="1"/>
  <c r="N169" i="61" s="1"/>
  <c r="L190" i="61"/>
  <c r="M190" i="61" s="1"/>
  <c r="N190" i="61" s="1"/>
  <c r="L159" i="61"/>
  <c r="M159" i="61" s="1"/>
  <c r="N159" i="61" s="1"/>
  <c r="M223" i="61"/>
  <c r="N223" i="61" s="1"/>
  <c r="O223" i="61" s="1"/>
  <c r="M75" i="61"/>
  <c r="N75" i="61" s="1"/>
  <c r="O75" i="61" s="1"/>
  <c r="L66" i="61"/>
  <c r="M66" i="61" s="1"/>
  <c r="N66" i="61" s="1"/>
  <c r="O66" i="61" s="1"/>
  <c r="L112" i="61"/>
  <c r="M112" i="61" s="1"/>
  <c r="N112" i="61" s="1"/>
  <c r="L81" i="61"/>
  <c r="M81" i="61" s="1"/>
  <c r="N81" i="61" s="1"/>
  <c r="M420" i="61"/>
  <c r="N420" i="61" s="1"/>
  <c r="O420" i="61" s="1"/>
  <c r="L210" i="61"/>
  <c r="M210" i="61" s="1"/>
  <c r="N210" i="61" s="1"/>
  <c r="M387" i="61"/>
  <c r="N387" i="61" s="1"/>
  <c r="O387" i="61" s="1"/>
  <c r="M251" i="61"/>
  <c r="N251" i="61" s="1"/>
  <c r="N254" i="61" s="1"/>
  <c r="L381" i="61"/>
  <c r="M381" i="61" s="1"/>
  <c r="N381" i="61" s="1"/>
  <c r="O381" i="61" s="1"/>
  <c r="L410" i="61"/>
  <c r="M410" i="61" s="1"/>
  <c r="N410" i="61" s="1"/>
  <c r="M177" i="61"/>
  <c r="N177" i="61" s="1"/>
  <c r="O177" i="61" s="1"/>
  <c r="K185" i="61"/>
  <c r="M228" i="61"/>
  <c r="N228" i="61" s="1"/>
  <c r="O228" i="61" s="1"/>
  <c r="L433" i="61"/>
  <c r="M433" i="61" s="1"/>
  <c r="N433" i="61" s="1"/>
  <c r="O433" i="61" s="1"/>
  <c r="M206" i="61"/>
  <c r="N206" i="61" s="1"/>
  <c r="O206" i="61" s="1"/>
  <c r="M203" i="61"/>
  <c r="N203" i="61" s="1"/>
  <c r="O203" i="61" s="1"/>
  <c r="M155" i="61"/>
  <c r="N155" i="61" s="1"/>
  <c r="O155" i="61" s="1"/>
  <c r="L229" i="61"/>
  <c r="M229" i="61" s="1"/>
  <c r="N229" i="61" s="1"/>
  <c r="O229" i="61" s="1"/>
  <c r="M184" i="61"/>
  <c r="N184" i="61" s="1"/>
  <c r="O184" i="61" s="1"/>
  <c r="L217" i="61"/>
  <c r="M217" i="61" s="1"/>
  <c r="N217" i="61" s="1"/>
  <c r="O217" i="61" s="1"/>
  <c r="O154" i="61"/>
  <c r="M89" i="61"/>
  <c r="N89" i="61" s="1"/>
  <c r="O89" i="61" s="1"/>
  <c r="L227" i="61"/>
  <c r="M227" i="61" s="1"/>
  <c r="N227" i="61" s="1"/>
  <c r="O227" i="61" s="1"/>
  <c r="L173" i="61"/>
  <c r="M173" i="61" s="1"/>
  <c r="N173" i="61" s="1"/>
  <c r="O173" i="61" s="1"/>
  <c r="L121" i="61"/>
  <c r="M121" i="61" s="1"/>
  <c r="N121" i="61" s="1"/>
  <c r="L106" i="61"/>
  <c r="M106" i="61" s="1"/>
  <c r="N106" i="61" s="1"/>
  <c r="O106" i="61" s="1"/>
  <c r="L63" i="61"/>
  <c r="M63" i="61" s="1"/>
  <c r="N63" i="61" s="1"/>
  <c r="L72" i="61"/>
  <c r="M72" i="61" s="1"/>
  <c r="N72" i="61" s="1"/>
  <c r="O72" i="61" s="1"/>
  <c r="N200" i="61" l="1"/>
  <c r="P200" i="61" s="1"/>
  <c r="N157" i="61"/>
  <c r="P157" i="61" s="1"/>
  <c r="N67" i="61"/>
  <c r="P67" i="61" s="1"/>
  <c r="N179" i="61"/>
  <c r="P179" i="61" s="1"/>
  <c r="N262" i="61"/>
  <c r="P262" i="61" s="1"/>
  <c r="O210" i="61"/>
  <c r="N141" i="61"/>
  <c r="P141" i="61" s="1"/>
  <c r="N161" i="61"/>
  <c r="P161" i="61" s="1"/>
  <c r="N208" i="61"/>
  <c r="P208" i="61" s="1"/>
  <c r="N130" i="61"/>
  <c r="P130" i="61" s="1"/>
  <c r="N125" i="61"/>
  <c r="P125" i="61" s="1"/>
  <c r="O109" i="61"/>
  <c r="N116" i="61"/>
  <c r="P116" i="61" s="1"/>
  <c r="N78" i="61"/>
  <c r="P78" i="61" s="1"/>
  <c r="N99" i="61"/>
  <c r="P99" i="61" s="1"/>
  <c r="N268" i="61"/>
  <c r="P268" i="61" s="1"/>
  <c r="N56" i="61"/>
  <c r="P56" i="61" s="1"/>
  <c r="O224" i="61"/>
  <c r="N233" i="61"/>
  <c r="P233" i="61" s="1"/>
  <c r="N147" i="61"/>
  <c r="P147" i="61" s="1"/>
  <c r="O219" i="61"/>
  <c r="O267" i="61"/>
  <c r="O111" i="61"/>
  <c r="N408" i="61"/>
  <c r="P408" i="61" s="1"/>
  <c r="O63" i="61"/>
  <c r="O112" i="61"/>
  <c r="O181" i="61"/>
  <c r="N396" i="61"/>
  <c r="P396" i="61" s="1"/>
  <c r="O390" i="61"/>
  <c r="O121" i="61"/>
  <c r="O167" i="61"/>
  <c r="P169" i="61"/>
  <c r="O92" i="61"/>
  <c r="O81" i="61"/>
  <c r="O49" i="61"/>
  <c r="P50" i="61"/>
  <c r="P152" i="61"/>
  <c r="O149" i="61"/>
  <c r="O190" i="61"/>
  <c r="N191" i="61"/>
  <c r="P191" i="61" s="1"/>
  <c r="L185" i="61"/>
  <c r="M185" i="61" s="1"/>
  <c r="N185" i="61" s="1"/>
  <c r="O185" i="61" s="1"/>
  <c r="M101" i="61"/>
  <c r="N101" i="61" s="1"/>
  <c r="P254" i="61"/>
  <c r="O251" i="61"/>
  <c r="N421" i="61"/>
  <c r="P421" i="61" s="1"/>
  <c r="O410" i="61"/>
  <c r="N435" i="61"/>
  <c r="P435" i="61" s="1"/>
  <c r="N388" i="61"/>
  <c r="P388" i="61" s="1"/>
  <c r="O132" i="61"/>
  <c r="P133" i="61"/>
  <c r="M211" i="61"/>
  <c r="N211" i="61" s="1"/>
  <c r="N220" i="61" s="1"/>
  <c r="L240" i="61"/>
  <c r="M240" i="61" s="1"/>
  <c r="N240" i="61" s="1"/>
  <c r="O240" i="61" s="1"/>
  <c r="K83" i="61"/>
  <c r="L83" i="61" s="1"/>
  <c r="O159" i="61"/>
  <c r="K103" i="61"/>
  <c r="M242" i="61"/>
  <c r="N242" i="61" s="1"/>
  <c r="O242" i="61" s="1"/>
  <c r="N188" i="61" l="1"/>
  <c r="P188" i="61" s="1"/>
  <c r="N245" i="61"/>
  <c r="P245" i="61" s="1"/>
  <c r="P220" i="61"/>
  <c r="O211" i="61"/>
  <c r="O101" i="61"/>
  <c r="L103" i="61"/>
  <c r="M103" i="61" s="1"/>
  <c r="N103" i="61" s="1"/>
  <c r="N107" i="61" s="1"/>
  <c r="M83" i="61"/>
  <c r="N83" i="61" s="1"/>
  <c r="N90" i="61" s="1"/>
  <c r="O103" i="61" l="1"/>
  <c r="P107" i="61"/>
  <c r="O83" i="61"/>
  <c r="P90" i="61"/>
  <c r="P436" i="61" l="1"/>
  <c r="C436" i="61" s="1"/>
  <c r="C31" i="60" l="1"/>
  <c r="D31" i="60" s="1"/>
  <c r="C28" i="60" l="1"/>
  <c r="C24" i="60" l="1"/>
  <c r="D24" i="60"/>
  <c r="C23" i="60"/>
  <c r="D23" i="60" s="1"/>
  <c r="F90" i="59" l="1"/>
  <c r="F89" i="59"/>
  <c r="F77" i="59"/>
  <c r="D90" i="59"/>
  <c r="D89" i="59"/>
  <c r="D85" i="59"/>
  <c r="F85" i="59" s="1"/>
  <c r="D86" i="59"/>
  <c r="F86" i="59" s="1"/>
  <c r="D82" i="59"/>
  <c r="F82" i="59" s="1"/>
  <c r="D81" i="59"/>
  <c r="F81" i="59" s="1"/>
  <c r="D77" i="59"/>
  <c r="B82" i="59"/>
  <c r="B78" i="59"/>
  <c r="D78" i="59" s="1"/>
  <c r="F78" i="59" s="1"/>
  <c r="F66" i="59"/>
  <c r="D74" i="59"/>
  <c r="F74" i="59" s="1"/>
  <c r="D73" i="59"/>
  <c r="F73" i="59" s="1"/>
  <c r="D70" i="59"/>
  <c r="F70" i="59" s="1"/>
  <c r="D69" i="59"/>
  <c r="F69" i="59" s="1"/>
  <c r="D66" i="59"/>
  <c r="D65" i="59"/>
  <c r="F65" i="59" s="1"/>
  <c r="I65" i="59" s="1"/>
  <c r="C3" i="59"/>
  <c r="F3" i="59"/>
  <c r="I66" i="59" l="1"/>
  <c r="DB48" i="56" l="1"/>
  <c r="DD48" i="56" s="1"/>
  <c r="DB47" i="56"/>
  <c r="DD47" i="56" s="1"/>
  <c r="DC48" i="56"/>
  <c r="DC47" i="56"/>
  <c r="DC45" i="56"/>
  <c r="DD45" i="56" s="1"/>
  <c r="D52" i="58"/>
  <c r="D51" i="58"/>
  <c r="C51" i="58"/>
  <c r="E51" i="58"/>
  <c r="E50" i="58"/>
  <c r="D50" i="58"/>
  <c r="C50" i="58"/>
  <c r="C49" i="58"/>
  <c r="D48" i="58"/>
  <c r="C50" i="53"/>
  <c r="E50" i="53" s="1"/>
  <c r="B49" i="53"/>
  <c r="E133" i="54"/>
  <c r="E135" i="54" s="1"/>
  <c r="E136" i="54" s="1"/>
  <c r="F131" i="54"/>
  <c r="G131" i="54" s="1"/>
  <c r="G130" i="54"/>
  <c r="F130" i="54"/>
  <c r="B131" i="54"/>
  <c r="B130" i="54"/>
  <c r="B132" i="54" s="1"/>
  <c r="D3" i="54"/>
  <c r="F14" i="60"/>
  <c r="H12" i="60"/>
  <c r="D18" i="60"/>
  <c r="E19" i="60" s="1"/>
  <c r="C56" i="55"/>
  <c r="B56" i="55"/>
  <c r="A56" i="55"/>
  <c r="C49" i="55"/>
  <c r="C50" i="55"/>
  <c r="A48" i="55"/>
  <c r="B45" i="58"/>
  <c r="C43" i="58"/>
  <c r="D43" i="58" s="1"/>
  <c r="C41" i="58"/>
  <c r="D41" i="58" s="1"/>
  <c r="C38" i="58"/>
  <c r="CM32" i="58"/>
  <c r="EK32" i="58"/>
  <c r="DG32" i="58"/>
  <c r="BI33" i="58"/>
  <c r="AE33" i="58"/>
  <c r="A35" i="58"/>
  <c r="A37" i="58" s="1"/>
  <c r="J47" i="53"/>
  <c r="B14" i="60" l="1"/>
  <c r="F19" i="60" s="1"/>
  <c r="B12" i="60"/>
  <c r="D12" i="60" s="1"/>
  <c r="B8" i="60"/>
  <c r="D8" i="60" s="1"/>
  <c r="D2" i="60"/>
  <c r="B4" i="60"/>
  <c r="B3" i="60"/>
  <c r="D3" i="60" s="1"/>
  <c r="B58" i="59"/>
  <c r="B53" i="59"/>
  <c r="F60" i="59"/>
  <c r="F57" i="59"/>
  <c r="C49" i="59"/>
  <c r="F49" i="59" s="1"/>
  <c r="C48" i="59"/>
  <c r="F48" i="59" s="1"/>
  <c r="F17" i="59"/>
  <c r="F39" i="59"/>
  <c r="F42" i="59"/>
  <c r="B40" i="59"/>
  <c r="B35" i="59"/>
  <c r="F34" i="59"/>
  <c r="F33" i="59"/>
  <c r="C28" i="59"/>
  <c r="F28" i="59" s="1"/>
  <c r="C29" i="59"/>
  <c r="F29" i="59" s="1"/>
  <c r="C18" i="59"/>
  <c r="B18" i="59"/>
  <c r="C13" i="59"/>
  <c r="F13" i="59" s="1"/>
  <c r="C12" i="59"/>
  <c r="F12" i="59" s="1"/>
  <c r="C10" i="59"/>
  <c r="F10" i="59" s="1"/>
  <c r="C9" i="59"/>
  <c r="F9" i="59" s="1"/>
  <c r="C5" i="59"/>
  <c r="F5" i="59" s="1"/>
  <c r="C4" i="59"/>
  <c r="F4" i="59" s="1"/>
  <c r="B9" i="60" l="1"/>
  <c r="D9" i="60" s="1"/>
  <c r="F3" i="60"/>
  <c r="B10" i="60"/>
  <c r="D10" i="60" s="1"/>
  <c r="C14" i="60"/>
  <c r="C15" i="60" s="1"/>
  <c r="J3" i="59"/>
  <c r="D4" i="60"/>
  <c r="F20" i="59"/>
  <c r="D2" i="55" l="1"/>
  <c r="U3" i="54"/>
  <c r="D88" i="54"/>
  <c r="U88" i="54" s="1"/>
  <c r="D44" i="54"/>
  <c r="F37" i="51" l="1"/>
  <c r="F38" i="51" s="1"/>
  <c r="G28" i="51"/>
  <c r="G25" i="51"/>
  <c r="G24" i="51"/>
  <c r="C8" i="51"/>
  <c r="C10" i="51"/>
  <c r="D21" i="51"/>
  <c r="C16" i="51"/>
  <c r="C17" i="51" s="1"/>
  <c r="G17" i="51" s="1"/>
  <c r="C11" i="51" l="1"/>
  <c r="C21" i="51" s="1"/>
  <c r="G21" i="51" s="1"/>
  <c r="F31" i="51" s="1"/>
  <c r="G31" i="51" s="1"/>
  <c r="C13" i="51" l="1"/>
  <c r="R117" i="41" l="1"/>
  <c r="I184" i="41" l="1"/>
  <c r="I187" i="41"/>
  <c r="M147" i="41" l="1"/>
  <c r="L147" i="41"/>
  <c r="Q150" i="41"/>
  <c r="Q148" i="41"/>
  <c r="O175" i="41"/>
  <c r="O174" i="41"/>
  <c r="O173" i="41"/>
  <c r="O172" i="41"/>
  <c r="O176" i="41" l="1"/>
  <c r="O150" i="41"/>
  <c r="I167" i="41"/>
  <c r="I164" i="41"/>
  <c r="L155" i="41"/>
  <c r="K155" i="41"/>
  <c r="I158" i="41"/>
  <c r="I157" i="41"/>
  <c r="I155" i="41"/>
  <c r="K147" i="41"/>
  <c r="O147" i="41" s="1"/>
  <c r="I150" i="41"/>
  <c r="I149" i="41"/>
  <c r="I147" i="41"/>
  <c r="P142" i="41"/>
  <c r="K141" i="41"/>
  <c r="M139" i="41"/>
  <c r="P139" i="41" s="1"/>
  <c r="P140" i="41" s="1"/>
  <c r="K137" i="41"/>
  <c r="L137" i="41"/>
  <c r="L141" i="41" s="1"/>
  <c r="I142" i="41"/>
  <c r="I141" i="41"/>
  <c r="I139" i="41"/>
  <c r="I140" i="41" s="1"/>
  <c r="I137" i="41"/>
  <c r="P131" i="41"/>
  <c r="K129" i="41"/>
  <c r="P129" i="41" s="1"/>
  <c r="M129" i="41"/>
  <c r="M158" i="41" s="1"/>
  <c r="O158" i="41" s="1"/>
  <c r="M128" i="41"/>
  <c r="N149" i="41" s="1"/>
  <c r="P126" i="41"/>
  <c r="P125" i="41"/>
  <c r="P132" i="41" s="1"/>
  <c r="I131" i="41"/>
  <c r="I129" i="41"/>
  <c r="I128" i="41"/>
  <c r="I130" i="41" s="1"/>
  <c r="I126" i="41"/>
  <c r="I125" i="41"/>
  <c r="I166" i="41" l="1"/>
  <c r="I168" i="41" s="1"/>
  <c r="O155" i="41"/>
  <c r="P137" i="41"/>
  <c r="I132" i="41"/>
  <c r="P141" i="41"/>
  <c r="I151" i="41"/>
  <c r="I159" i="41"/>
  <c r="L150" i="41"/>
  <c r="L151" i="41" s="1"/>
  <c r="M150" i="41"/>
  <c r="M151" i="41" s="1"/>
  <c r="P128" i="41"/>
  <c r="P119" i="41"/>
  <c r="M116" i="41"/>
  <c r="P116" i="41" s="1"/>
  <c r="L117" i="41"/>
  <c r="P117" i="41"/>
  <c r="P114" i="41"/>
  <c r="P113" i="41"/>
  <c r="I119" i="41"/>
  <c r="I117" i="41"/>
  <c r="I116" i="41"/>
  <c r="I114" i="41"/>
  <c r="I113" i="41"/>
  <c r="I120" i="41" s="1"/>
  <c r="P107" i="41"/>
  <c r="M105" i="41"/>
  <c r="P105" i="41" s="1"/>
  <c r="L106" i="41" s="1"/>
  <c r="P106" i="41" s="1"/>
  <c r="O149" i="41" l="1"/>
  <c r="O151" i="41" s="1"/>
  <c r="I118" i="41"/>
  <c r="L118" i="41"/>
  <c r="P118" i="41" s="1"/>
  <c r="P120" i="41"/>
  <c r="P130" i="41"/>
  <c r="O157" i="41"/>
  <c r="O159" i="41" s="1"/>
  <c r="P103" i="41"/>
  <c r="P102" i="41"/>
  <c r="P108" i="41" s="1"/>
  <c r="I107" i="41"/>
  <c r="I105" i="41"/>
  <c r="I106" i="41" s="1"/>
  <c r="I103" i="41"/>
  <c r="I102" i="41"/>
  <c r="I108" i="41" s="1"/>
  <c r="G100" i="41"/>
  <c r="G101" i="41" s="1"/>
  <c r="E85" i="41" l="1"/>
  <c r="E83" i="41" l="1"/>
  <c r="D82" i="41"/>
  <c r="E82" i="41" s="1"/>
  <c r="E81" i="41"/>
  <c r="E79" i="41"/>
  <c r="D78" i="41"/>
  <c r="E78" i="41" s="1"/>
  <c r="E77" i="41"/>
  <c r="D74" i="41"/>
  <c r="D75" i="41" s="1"/>
  <c r="E75" i="41" s="1"/>
  <c r="E74" i="41"/>
  <c r="E73" i="41"/>
  <c r="A69" i="41"/>
  <c r="A70" i="41" s="1"/>
  <c r="E70" i="41" s="1"/>
  <c r="E68" i="41"/>
  <c r="E67" i="41"/>
  <c r="A62" i="41"/>
  <c r="E62" i="41" s="1"/>
  <c r="D63" i="41"/>
  <c r="D64" i="41" s="1"/>
  <c r="E64" i="41" s="1"/>
  <c r="D51" i="41"/>
  <c r="D54" i="41" s="1"/>
  <c r="B51" i="41"/>
  <c r="B54" i="41" s="1"/>
  <c r="A51" i="41"/>
  <c r="A54" i="41" s="1"/>
  <c r="E50" i="41"/>
  <c r="D44" i="41"/>
  <c r="D47" i="41" s="1"/>
  <c r="B44" i="41"/>
  <c r="B47" i="41" s="1"/>
  <c r="A44" i="41"/>
  <c r="A47" i="41" s="1"/>
  <c r="E43" i="41"/>
  <c r="E69" i="41" l="1"/>
  <c r="E54" i="41"/>
  <c r="E63" i="41"/>
  <c r="E51" i="41"/>
  <c r="D52" i="41"/>
  <c r="E47" i="41"/>
  <c r="E44" i="41"/>
  <c r="D45" i="41"/>
  <c r="E45" i="41" l="1"/>
  <c r="D46" i="41"/>
  <c r="E46" i="41" s="1"/>
  <c r="D53" i="41"/>
  <c r="E53" i="41" s="1"/>
  <c r="E52" i="41"/>
  <c r="B38" i="41" l="1"/>
  <c r="B40" i="41" s="1"/>
  <c r="A38" i="41"/>
  <c r="A40" i="41" s="1"/>
  <c r="D38" i="41"/>
  <c r="D40" i="41" s="1"/>
  <c r="D57" i="41" s="1"/>
  <c r="E37" i="41"/>
  <c r="D58" i="41" l="1"/>
  <c r="E57" i="41"/>
  <c r="E40" i="41"/>
  <c r="D39" i="41"/>
  <c r="E39" i="41" s="1"/>
  <c r="E38" i="41"/>
  <c r="D59" i="41" l="1"/>
  <c r="E59" i="41" s="1"/>
  <c r="E58" i="41"/>
  <c r="G11" i="41" l="1"/>
  <c r="I11" i="41"/>
  <c r="H11" i="41"/>
  <c r="F11" i="41"/>
  <c r="C11" i="41"/>
  <c r="E7" i="41" l="1"/>
  <c r="G7" i="41"/>
  <c r="J7" i="41"/>
  <c r="C7" i="41"/>
  <c r="E6" i="41"/>
  <c r="J6" i="41"/>
  <c r="D6" i="41" s="1"/>
  <c r="E20" i="41"/>
  <c r="D7" i="41" l="1"/>
  <c r="E33" i="41" l="1"/>
  <c r="E32" i="41"/>
  <c r="A27" i="41"/>
  <c r="A28" i="41" s="1"/>
  <c r="A29" i="41" s="1"/>
  <c r="A30" i="41" s="1"/>
  <c r="E28" i="41" l="1"/>
  <c r="B27" i="41"/>
  <c r="E27" i="41" s="1"/>
  <c r="E26" i="41"/>
  <c r="E31" i="41"/>
  <c r="E30" i="41"/>
  <c r="E29" i="41"/>
  <c r="A18" i="41"/>
  <c r="E18" i="41" s="1"/>
  <c r="H10" i="41"/>
  <c r="G8" i="41"/>
  <c r="G10" i="41"/>
  <c r="G9" i="41"/>
  <c r="G6" i="41"/>
  <c r="N8" i="41"/>
  <c r="B8" i="41"/>
  <c r="B12" i="41"/>
  <c r="B9" i="41"/>
  <c r="A19" i="41" l="1"/>
  <c r="E19" i="41" s="1"/>
  <c r="D8" i="41"/>
  <c r="E8" i="41" l="1"/>
  <c r="J8" i="41" s="1"/>
  <c r="D12" i="41" l="1"/>
  <c r="D9" i="41"/>
  <c r="R13" i="41" l="1"/>
  <c r="Q13" i="41"/>
  <c r="S13" i="41" l="1"/>
  <c r="F7" i="41"/>
  <c r="I7" i="41"/>
  <c r="F12" i="41" l="1"/>
  <c r="D10" i="41"/>
  <c r="E23" i="41" l="1"/>
  <c r="D24" i="41"/>
  <c r="E22" i="41"/>
  <c r="F10" i="41"/>
  <c r="F6" i="41"/>
  <c r="F9" i="41"/>
  <c r="F8" i="41" l="1"/>
  <c r="E24" i="41"/>
  <c r="I12" i="41"/>
  <c r="C12" i="41"/>
  <c r="I10" i="41" l="1"/>
  <c r="C10" i="41"/>
  <c r="I9" i="41"/>
  <c r="C9" i="41"/>
  <c r="I8" i="41" l="1"/>
  <c r="C8" i="41"/>
  <c r="I6" i="41" l="1"/>
  <c r="C6" i="41"/>
  <c r="J505" i="40" l="1"/>
  <c r="G505" i="40"/>
  <c r="K505" i="40" l="1"/>
  <c r="L505" i="40" s="1"/>
  <c r="M505" i="40" s="1"/>
  <c r="N505" i="40" s="1"/>
  <c r="O505" i="40" l="1"/>
  <c r="J504" i="40" l="1"/>
  <c r="G504" i="40"/>
  <c r="K504" i="40" l="1"/>
  <c r="L504" i="40" l="1"/>
  <c r="M504" i="40" s="1"/>
  <c r="N504" i="40" s="1"/>
  <c r="N506" i="40" l="1"/>
  <c r="O504" i="40"/>
  <c r="A504" i="40" l="1"/>
  <c r="A505" i="40" s="1"/>
  <c r="F29" i="19" l="1"/>
  <c r="F30" i="19"/>
  <c r="F28" i="19"/>
  <c r="D31" i="19"/>
  <c r="B5" i="19"/>
  <c r="B20" i="19"/>
  <c r="B17" i="19"/>
  <c r="B11" i="19" l="1"/>
  <c r="K30" i="12" l="1"/>
  <c r="J30" i="12"/>
  <c r="H30" i="12"/>
  <c r="L30" i="12" s="1"/>
  <c r="K91" i="12"/>
  <c r="J91" i="12"/>
  <c r="H91" i="12"/>
  <c r="I91" i="12" s="1"/>
  <c r="M30" i="12" l="1"/>
  <c r="I30" i="12"/>
  <c r="L91" i="12"/>
  <c r="M91" i="12" s="1"/>
  <c r="K131" i="12"/>
  <c r="J131" i="12"/>
  <c r="H131" i="12"/>
  <c r="L131" i="12" s="1"/>
  <c r="K129" i="12"/>
  <c r="J129" i="12"/>
  <c r="H129" i="12"/>
  <c r="L129" i="12" s="1"/>
  <c r="K128" i="12"/>
  <c r="J128" i="12"/>
  <c r="H128" i="12"/>
  <c r="K127" i="12"/>
  <c r="J127" i="12"/>
  <c r="H127" i="12"/>
  <c r="I127" i="12" s="1"/>
  <c r="K126" i="12"/>
  <c r="J126" i="12"/>
  <c r="H126" i="12"/>
  <c r="L126" i="12" s="1"/>
  <c r="K124" i="12"/>
  <c r="J124" i="12"/>
  <c r="H124" i="12"/>
  <c r="L124" i="12" s="1"/>
  <c r="K123" i="12"/>
  <c r="J123" i="12"/>
  <c r="H123" i="12"/>
  <c r="L123" i="12" s="1"/>
  <c r="B123" i="12"/>
  <c r="B124" i="12" s="1"/>
  <c r="B126" i="12" s="1"/>
  <c r="B127" i="12" s="1"/>
  <c r="B128" i="12" s="1"/>
  <c r="B129" i="12" s="1"/>
  <c r="B131" i="12" s="1"/>
  <c r="K122" i="12"/>
  <c r="J122" i="12"/>
  <c r="H122" i="12"/>
  <c r="I122" i="12" s="1"/>
  <c r="K118" i="12"/>
  <c r="J118" i="12"/>
  <c r="H118" i="12"/>
  <c r="I118" i="12" s="1"/>
  <c r="K117" i="12"/>
  <c r="J117" i="12"/>
  <c r="H117" i="12"/>
  <c r="L117" i="12" s="1"/>
  <c r="K116" i="12"/>
  <c r="J116" i="12"/>
  <c r="H116" i="12"/>
  <c r="L116" i="12" s="1"/>
  <c r="K115" i="12"/>
  <c r="J115" i="12"/>
  <c r="H115" i="12"/>
  <c r="L115" i="12" s="1"/>
  <c r="K114" i="12"/>
  <c r="J114" i="12"/>
  <c r="H114" i="12"/>
  <c r="I114" i="12" s="1"/>
  <c r="K112" i="12"/>
  <c r="J112" i="12"/>
  <c r="H112" i="12"/>
  <c r="L112" i="12" s="1"/>
  <c r="K111" i="12"/>
  <c r="J111" i="12"/>
  <c r="H111" i="12"/>
  <c r="I111" i="12" s="1"/>
  <c r="K110" i="12"/>
  <c r="J110" i="12"/>
  <c r="H110" i="12"/>
  <c r="L110" i="12" s="1"/>
  <c r="K109" i="12"/>
  <c r="J109" i="12"/>
  <c r="H109" i="12"/>
  <c r="I109" i="12" s="1"/>
  <c r="K108" i="12"/>
  <c r="J108" i="12"/>
  <c r="H108" i="12"/>
  <c r="L108" i="12" s="1"/>
  <c r="K107" i="12"/>
  <c r="J107" i="12"/>
  <c r="H107" i="12"/>
  <c r="I107" i="12" s="1"/>
  <c r="K105" i="12"/>
  <c r="J105" i="12"/>
  <c r="H105" i="12"/>
  <c r="L105" i="12" s="1"/>
  <c r="B105" i="12"/>
  <c r="B107" i="12" s="1"/>
  <c r="B108" i="12" s="1"/>
  <c r="B109" i="12" s="1"/>
  <c r="B110" i="12" s="1"/>
  <c r="B111" i="12" s="1"/>
  <c r="B112" i="12" s="1"/>
  <c r="B114" i="12" s="1"/>
  <c r="B115" i="12" s="1"/>
  <c r="B116" i="12" s="1"/>
  <c r="B117" i="12" s="1"/>
  <c r="B118" i="12" s="1"/>
  <c r="K104" i="12"/>
  <c r="J104" i="12"/>
  <c r="H104" i="12"/>
  <c r="I104" i="12" s="1"/>
  <c r="K100" i="12"/>
  <c r="J100" i="12"/>
  <c r="H100" i="12"/>
  <c r="I100" i="12" s="1"/>
  <c r="K99" i="12"/>
  <c r="J99" i="12"/>
  <c r="H99" i="12"/>
  <c r="L99" i="12" s="1"/>
  <c r="K98" i="12"/>
  <c r="J98" i="12"/>
  <c r="H98" i="12"/>
  <c r="I98" i="12" s="1"/>
  <c r="K97" i="12"/>
  <c r="J97" i="12"/>
  <c r="H97" i="12"/>
  <c r="L97" i="12" s="1"/>
  <c r="K96" i="12"/>
  <c r="J96" i="12"/>
  <c r="H96" i="12"/>
  <c r="I96" i="12" s="1"/>
  <c r="K95" i="12"/>
  <c r="J95" i="12"/>
  <c r="H95" i="12"/>
  <c r="L95" i="12" s="1"/>
  <c r="K94" i="12"/>
  <c r="J94" i="12"/>
  <c r="H94" i="12"/>
  <c r="I94" i="12" s="1"/>
  <c r="K93" i="12"/>
  <c r="J93" i="12"/>
  <c r="H93" i="12"/>
  <c r="L93" i="12" s="1"/>
  <c r="K92" i="12"/>
  <c r="J92" i="12"/>
  <c r="H92" i="12"/>
  <c r="I92" i="12" s="1"/>
  <c r="B92" i="12"/>
  <c r="B93" i="12" s="1"/>
  <c r="B94" i="12" s="1"/>
  <c r="B95" i="12" s="1"/>
  <c r="B96" i="12" s="1"/>
  <c r="B97" i="12" s="1"/>
  <c r="B98" i="12" s="1"/>
  <c r="B99" i="12" s="1"/>
  <c r="B100" i="12" s="1"/>
  <c r="K90" i="12"/>
  <c r="J90" i="12"/>
  <c r="H90" i="12"/>
  <c r="L90" i="12" s="1"/>
  <c r="K87" i="12"/>
  <c r="J87" i="12"/>
  <c r="H87" i="12"/>
  <c r="L87" i="12" s="1"/>
  <c r="K86" i="12"/>
  <c r="J86" i="12"/>
  <c r="H86" i="12"/>
  <c r="L86" i="12" s="1"/>
  <c r="K85" i="12"/>
  <c r="J85" i="12"/>
  <c r="H85" i="12"/>
  <c r="L85" i="12" s="1"/>
  <c r="K82" i="12"/>
  <c r="J82" i="12"/>
  <c r="H82" i="12"/>
  <c r="L82" i="12" s="1"/>
  <c r="K81" i="12"/>
  <c r="J81" i="12"/>
  <c r="H81" i="12"/>
  <c r="I81" i="12" s="1"/>
  <c r="K80" i="12"/>
  <c r="J80" i="12"/>
  <c r="H80" i="12"/>
  <c r="L80" i="12" s="1"/>
  <c r="K79" i="12"/>
  <c r="J79" i="12"/>
  <c r="H79" i="12"/>
  <c r="I79" i="12" s="1"/>
  <c r="K78" i="12"/>
  <c r="J78" i="12"/>
  <c r="H78" i="12"/>
  <c r="L78" i="12" s="1"/>
  <c r="K77" i="12"/>
  <c r="J77" i="12"/>
  <c r="H77" i="12"/>
  <c r="I77" i="12" s="1"/>
  <c r="K76" i="12"/>
  <c r="J76" i="12"/>
  <c r="H76" i="12"/>
  <c r="L76" i="12" s="1"/>
  <c r="K75" i="12"/>
  <c r="J75" i="12"/>
  <c r="H75" i="12"/>
  <c r="I75" i="12" s="1"/>
  <c r="K74" i="12"/>
  <c r="J74" i="12"/>
  <c r="H74" i="12"/>
  <c r="L74" i="12" s="1"/>
  <c r="B74" i="12"/>
  <c r="B75" i="12" s="1"/>
  <c r="B76" i="12" s="1"/>
  <c r="B77" i="12" s="1"/>
  <c r="B78" i="12" s="1"/>
  <c r="B79" i="12" s="1"/>
  <c r="B80" i="12" s="1"/>
  <c r="B81" i="12" s="1"/>
  <c r="B82" i="12" s="1"/>
  <c r="K73" i="12"/>
  <c r="J73" i="12"/>
  <c r="H73" i="12"/>
  <c r="I73" i="12" s="1"/>
  <c r="K70" i="12"/>
  <c r="J70" i="12"/>
  <c r="H70" i="12"/>
  <c r="I70" i="12" s="1"/>
  <c r="K69" i="12"/>
  <c r="J69" i="12"/>
  <c r="H69" i="12"/>
  <c r="I69" i="12" s="1"/>
  <c r="K68" i="12"/>
  <c r="J68" i="12"/>
  <c r="H68" i="12"/>
  <c r="I68" i="12" s="1"/>
  <c r="K65" i="12"/>
  <c r="J65" i="12"/>
  <c r="H65" i="12"/>
  <c r="I65" i="12" s="1"/>
  <c r="K64" i="12"/>
  <c r="J64" i="12"/>
  <c r="H64" i="12"/>
  <c r="L64" i="12" s="1"/>
  <c r="K63" i="12"/>
  <c r="J63" i="12"/>
  <c r="H63" i="12"/>
  <c r="I63" i="12" s="1"/>
  <c r="K62" i="12"/>
  <c r="J62" i="12"/>
  <c r="H62" i="12"/>
  <c r="L62" i="12" s="1"/>
  <c r="K61" i="12"/>
  <c r="J61" i="12"/>
  <c r="H61" i="12"/>
  <c r="I61" i="12" s="1"/>
  <c r="K60" i="12"/>
  <c r="J60" i="12"/>
  <c r="H60" i="12"/>
  <c r="L60" i="12" s="1"/>
  <c r="K59" i="12"/>
  <c r="J59" i="12"/>
  <c r="H59" i="12"/>
  <c r="I59" i="12" s="1"/>
  <c r="K58" i="12"/>
  <c r="J58" i="12"/>
  <c r="H58" i="12"/>
  <c r="L58" i="12" s="1"/>
  <c r="K57" i="12"/>
  <c r="J57" i="12"/>
  <c r="H57" i="12"/>
  <c r="I57" i="12" s="1"/>
  <c r="K55" i="12"/>
  <c r="J55" i="12"/>
  <c r="H55" i="12"/>
  <c r="L55" i="12" s="1"/>
  <c r="K54" i="12"/>
  <c r="J54" i="12"/>
  <c r="H54" i="12"/>
  <c r="I54" i="12" s="1"/>
  <c r="K53" i="12"/>
  <c r="J53" i="12"/>
  <c r="H53" i="12"/>
  <c r="L53" i="12" s="1"/>
  <c r="K52" i="12"/>
  <c r="J52" i="12"/>
  <c r="H52" i="12"/>
  <c r="I52" i="12" s="1"/>
  <c r="K51" i="12"/>
  <c r="J51" i="12"/>
  <c r="H51" i="12"/>
  <c r="L51" i="12" s="1"/>
  <c r="K50" i="12"/>
  <c r="J50" i="12"/>
  <c r="H50" i="12"/>
  <c r="I50" i="12" s="1"/>
  <c r="K49" i="12"/>
  <c r="J49" i="12"/>
  <c r="H49" i="12"/>
  <c r="L49" i="12" s="1"/>
  <c r="K48" i="12"/>
  <c r="J48" i="12"/>
  <c r="H48" i="12"/>
  <c r="I48" i="12" s="1"/>
  <c r="B48" i="12"/>
  <c r="B49" i="12" s="1"/>
  <c r="B50" i="12" s="1"/>
  <c r="B51" i="12" s="1"/>
  <c r="B52" i="12" s="1"/>
  <c r="B53" i="12" s="1"/>
  <c r="B54" i="12" s="1"/>
  <c r="B55" i="12" s="1"/>
  <c r="B57" i="12" s="1"/>
  <c r="B58" i="12" s="1"/>
  <c r="B59" i="12" s="1"/>
  <c r="B60" i="12" s="1"/>
  <c r="B61" i="12" s="1"/>
  <c r="B62" i="12" s="1"/>
  <c r="B63" i="12" s="1"/>
  <c r="B64" i="12" s="1"/>
  <c r="B65" i="12" s="1"/>
  <c r="K47" i="12"/>
  <c r="J47" i="12"/>
  <c r="H47" i="12"/>
  <c r="L47" i="12" s="1"/>
  <c r="K43" i="12"/>
  <c r="J43" i="12"/>
  <c r="H43" i="12"/>
  <c r="L43" i="12" s="1"/>
  <c r="K42" i="12"/>
  <c r="J42" i="12"/>
  <c r="H42" i="12"/>
  <c r="I42" i="12" s="1"/>
  <c r="K41" i="12"/>
  <c r="J41" i="12"/>
  <c r="H41" i="12"/>
  <c r="L41" i="12" s="1"/>
  <c r="K40" i="12"/>
  <c r="J40" i="12"/>
  <c r="H40" i="12"/>
  <c r="I40" i="12" s="1"/>
  <c r="K39" i="12"/>
  <c r="J39" i="12"/>
  <c r="H39" i="12"/>
  <c r="L39" i="12" s="1"/>
  <c r="B39" i="12"/>
  <c r="B40" i="12" s="1"/>
  <c r="B41" i="12" s="1"/>
  <c r="B42" i="12" s="1"/>
  <c r="B43" i="12" s="1"/>
  <c r="K38" i="12"/>
  <c r="J38" i="12"/>
  <c r="H38" i="12"/>
  <c r="I38" i="12" s="1"/>
  <c r="K35" i="12"/>
  <c r="J35" i="12"/>
  <c r="H35" i="12"/>
  <c r="I35" i="12" s="1"/>
  <c r="K34" i="12"/>
  <c r="J34" i="12"/>
  <c r="H34" i="12"/>
  <c r="L34" i="12" s="1"/>
  <c r="K33" i="12"/>
  <c r="J33" i="12"/>
  <c r="H33" i="12"/>
  <c r="I33" i="12" s="1"/>
  <c r="K32" i="12"/>
  <c r="J32" i="12"/>
  <c r="H32" i="12"/>
  <c r="L32" i="12" s="1"/>
  <c r="K31" i="12"/>
  <c r="J31" i="12"/>
  <c r="H31" i="12"/>
  <c r="I31" i="12" s="1"/>
  <c r="B31" i="12"/>
  <c r="B32" i="12" s="1"/>
  <c r="B33" i="12" s="1"/>
  <c r="B34" i="12" s="1"/>
  <c r="B35" i="12" s="1"/>
  <c r="K29" i="12"/>
  <c r="J29" i="12"/>
  <c r="H29" i="12"/>
  <c r="L29" i="12" s="1"/>
  <c r="B11" i="12"/>
  <c r="B12" i="12" s="1"/>
  <c r="B13" i="12" s="1"/>
  <c r="B14" i="12" s="1"/>
  <c r="B15" i="12" s="1"/>
  <c r="B16" i="12" s="1"/>
  <c r="B17" i="12" s="1"/>
  <c r="B18" i="12" s="1"/>
  <c r="B19" i="12" s="1"/>
  <c r="B20" i="12" s="1"/>
  <c r="B21" i="12" s="1"/>
  <c r="B22" i="12" s="1"/>
  <c r="B23" i="12" s="1"/>
  <c r="B24" i="12" s="1"/>
  <c r="M131" i="12" l="1"/>
  <c r="I95" i="12"/>
  <c r="M86" i="12"/>
  <c r="M93" i="12"/>
  <c r="I43" i="12"/>
  <c r="I47" i="12"/>
  <c r="I108" i="12"/>
  <c r="M105" i="12"/>
  <c r="M108" i="12"/>
  <c r="M129" i="12"/>
  <c r="L79" i="12"/>
  <c r="M79" i="12" s="1"/>
  <c r="M115" i="12"/>
  <c r="I53" i="12"/>
  <c r="I86" i="12"/>
  <c r="I93" i="12"/>
  <c r="I85" i="12"/>
  <c r="I87" i="12"/>
  <c r="I90" i="12"/>
  <c r="I105" i="12"/>
  <c r="I115" i="12"/>
  <c r="I116" i="12"/>
  <c r="I117" i="12"/>
  <c r="I129" i="12"/>
  <c r="I131" i="12"/>
  <c r="M51" i="12"/>
  <c r="I62" i="12"/>
  <c r="M78" i="12"/>
  <c r="I99" i="12"/>
  <c r="I112" i="12"/>
  <c r="I123" i="12"/>
  <c r="I124" i="12"/>
  <c r="I126" i="12"/>
  <c r="M47" i="12"/>
  <c r="M60" i="12"/>
  <c r="I97" i="12"/>
  <c r="I110" i="12"/>
  <c r="L118" i="12"/>
  <c r="M118" i="12" s="1"/>
  <c r="L122" i="12"/>
  <c r="M122" i="12" s="1"/>
  <c r="M32" i="12"/>
  <c r="I34" i="12"/>
  <c r="I49" i="12"/>
  <c r="I51" i="12"/>
  <c r="I60" i="12"/>
  <c r="M76" i="12"/>
  <c r="M80" i="12"/>
  <c r="I82" i="12"/>
  <c r="M123" i="12"/>
  <c r="L31" i="12"/>
  <c r="M31" i="12" s="1"/>
  <c r="M55" i="12"/>
  <c r="I58" i="12"/>
  <c r="M64" i="12"/>
  <c r="I76" i="12"/>
  <c r="I78" i="12"/>
  <c r="I80" i="12"/>
  <c r="M97" i="12"/>
  <c r="M110" i="12"/>
  <c r="I32" i="12"/>
  <c r="M43" i="12"/>
  <c r="M49" i="12"/>
  <c r="L50" i="12"/>
  <c r="M50" i="12" s="1"/>
  <c r="I55" i="12"/>
  <c r="I64" i="12"/>
  <c r="I74" i="12"/>
  <c r="M90" i="12"/>
  <c r="I29" i="12"/>
  <c r="M29" i="12"/>
  <c r="I41" i="12"/>
  <c r="M39" i="12"/>
  <c r="I39" i="12"/>
  <c r="M41" i="12"/>
  <c r="L42" i="12"/>
  <c r="M42" i="12" s="1"/>
  <c r="M53" i="12"/>
  <c r="L54" i="12"/>
  <c r="M54" i="12" s="1"/>
  <c r="M82" i="12"/>
  <c r="L92" i="12"/>
  <c r="M92" i="12" s="1"/>
  <c r="L109" i="12"/>
  <c r="M109" i="12" s="1"/>
  <c r="M112" i="12"/>
  <c r="M124" i="12"/>
  <c r="I128" i="12"/>
  <c r="L128" i="12"/>
  <c r="M128" i="12" s="1"/>
  <c r="M58" i="12"/>
  <c r="L59" i="12"/>
  <c r="M59" i="12" s="1"/>
  <c r="M85" i="12"/>
  <c r="M95" i="12"/>
  <c r="L96" i="12"/>
  <c r="M96" i="12" s="1"/>
  <c r="M99" i="12"/>
  <c r="L114" i="12"/>
  <c r="M114" i="12" s="1"/>
  <c r="M116" i="12"/>
  <c r="M126" i="12"/>
  <c r="M34" i="12"/>
  <c r="L35" i="12"/>
  <c r="M35" i="12" s="1"/>
  <c r="L38" i="12"/>
  <c r="M38" i="12" s="1"/>
  <c r="M62" i="12"/>
  <c r="L63" i="12"/>
  <c r="M63" i="12" s="1"/>
  <c r="L69" i="12"/>
  <c r="M69" i="12" s="1"/>
  <c r="M74" i="12"/>
  <c r="L75" i="12"/>
  <c r="M75" i="12" s="1"/>
  <c r="M87" i="12"/>
  <c r="L100" i="12"/>
  <c r="M100" i="12" s="1"/>
  <c r="L104" i="12"/>
  <c r="M104" i="12" s="1"/>
  <c r="M117" i="12"/>
  <c r="L127" i="12"/>
  <c r="M127" i="12" s="1"/>
  <c r="L33" i="12"/>
  <c r="M33" i="12" s="1"/>
  <c r="L40" i="12"/>
  <c r="M40" i="12" s="1"/>
  <c r="L48" i="12"/>
  <c r="M48" i="12" s="1"/>
  <c r="L52" i="12"/>
  <c r="M52" i="12" s="1"/>
  <c r="L57" i="12"/>
  <c r="M57" i="12" s="1"/>
  <c r="L61" i="12"/>
  <c r="M61" i="12" s="1"/>
  <c r="L65" i="12"/>
  <c r="M65" i="12" s="1"/>
  <c r="L68" i="12"/>
  <c r="M68" i="12" s="1"/>
  <c r="L70" i="12"/>
  <c r="M70" i="12" s="1"/>
  <c r="L73" i="12"/>
  <c r="M73" i="12" s="1"/>
  <c r="L77" i="12"/>
  <c r="M77" i="12" s="1"/>
  <c r="L81" i="12"/>
  <c r="M81" i="12" s="1"/>
  <c r="L94" i="12"/>
  <c r="M94" i="12" s="1"/>
  <c r="L98" i="12"/>
  <c r="M98" i="12" s="1"/>
  <c r="L107" i="12"/>
  <c r="M107" i="12" s="1"/>
  <c r="L111" i="12"/>
  <c r="M111" i="12" s="1"/>
  <c r="M88" i="12" l="1"/>
  <c r="O88" i="12" s="1"/>
  <c r="M71" i="12"/>
  <c r="O71" i="12" s="1"/>
  <c r="M101" i="12"/>
  <c r="O101" i="12" s="1"/>
  <c r="M66" i="12"/>
  <c r="O66" i="12" s="1"/>
  <c r="M83" i="12"/>
  <c r="O83" i="12" s="1"/>
  <c r="M119" i="12"/>
  <c r="O119" i="12" s="1"/>
  <c r="M36" i="12"/>
  <c r="O36" i="12" s="1"/>
  <c r="M132" i="12"/>
  <c r="O132" i="12" s="1"/>
  <c r="M44" i="12"/>
  <c r="O44" i="12" s="1"/>
  <c r="O134" i="12" l="1"/>
  <c r="D134" i="12" s="1"/>
  <c r="H86" i="3" l="1"/>
  <c r="H87" i="3"/>
  <c r="H88" i="3"/>
  <c r="H89" i="3"/>
  <c r="H90" i="3"/>
  <c r="H91" i="3"/>
  <c r="I91" i="3" s="1"/>
  <c r="H92" i="3"/>
  <c r="I92" i="3" s="1"/>
  <c r="H93" i="3"/>
  <c r="I93" i="3" s="1"/>
  <c r="H94" i="3"/>
  <c r="I94" i="3" s="1"/>
  <c r="H85" i="3"/>
  <c r="I85" i="3" s="1"/>
  <c r="H82" i="3"/>
  <c r="H99" i="3"/>
  <c r="H101" i="3"/>
  <c r="H102" i="3"/>
  <c r="H103" i="3"/>
  <c r="H104" i="3"/>
  <c r="H105" i="3"/>
  <c r="H106" i="3"/>
  <c r="H108" i="3"/>
  <c r="H109" i="3"/>
  <c r="H110" i="3"/>
  <c r="H111" i="3"/>
  <c r="H112" i="3"/>
  <c r="H98" i="3"/>
  <c r="B29" i="3" l="1"/>
  <c r="L99" i="3"/>
  <c r="L101" i="3"/>
  <c r="L102" i="3"/>
  <c r="L103" i="3"/>
  <c r="L104" i="3"/>
  <c r="L105" i="3"/>
  <c r="L106" i="3"/>
  <c r="L108" i="3"/>
  <c r="L109" i="3"/>
  <c r="L110" i="3"/>
  <c r="L111" i="3"/>
  <c r="L112" i="3"/>
  <c r="K99" i="3"/>
  <c r="K101" i="3"/>
  <c r="K102" i="3"/>
  <c r="K103" i="3"/>
  <c r="K104" i="3"/>
  <c r="K105" i="3"/>
  <c r="K106" i="3"/>
  <c r="K108" i="3"/>
  <c r="K109" i="3"/>
  <c r="K110" i="3"/>
  <c r="K111" i="3"/>
  <c r="K112" i="3"/>
  <c r="J99" i="3"/>
  <c r="J101" i="3"/>
  <c r="J102" i="3"/>
  <c r="J103" i="3"/>
  <c r="J104" i="3"/>
  <c r="J105" i="3"/>
  <c r="J106" i="3"/>
  <c r="J108" i="3"/>
  <c r="J109" i="3"/>
  <c r="J110" i="3"/>
  <c r="J111" i="3"/>
  <c r="J112" i="3"/>
  <c r="I99" i="3"/>
  <c r="I101" i="3"/>
  <c r="I102" i="3"/>
  <c r="I103" i="3"/>
  <c r="I104" i="3"/>
  <c r="I105" i="3"/>
  <c r="I106" i="3"/>
  <c r="I108" i="3"/>
  <c r="I109" i="3"/>
  <c r="I110" i="3"/>
  <c r="I111" i="3"/>
  <c r="I112" i="3"/>
  <c r="M99" i="3" l="1"/>
  <c r="M102" i="3"/>
  <c r="M101" i="3"/>
  <c r="M112" i="3"/>
  <c r="M111" i="3"/>
  <c r="M108" i="3"/>
  <c r="M106" i="3"/>
  <c r="M110" i="3"/>
  <c r="M109" i="3"/>
  <c r="M105" i="3"/>
  <c r="M104" i="3"/>
  <c r="M103" i="3"/>
  <c r="L82" i="3"/>
  <c r="K82" i="3"/>
  <c r="J82" i="3"/>
  <c r="I82" i="3"/>
  <c r="M82" i="3" l="1"/>
  <c r="L93" i="3"/>
  <c r="K93" i="3"/>
  <c r="J93" i="3"/>
  <c r="L91" i="3"/>
  <c r="K91" i="3"/>
  <c r="J91" i="3"/>
  <c r="L89" i="3"/>
  <c r="K89" i="3"/>
  <c r="J89" i="3"/>
  <c r="I89" i="3"/>
  <c r="L88" i="3"/>
  <c r="K88" i="3"/>
  <c r="J88" i="3"/>
  <c r="I88" i="3"/>
  <c r="K65" i="3"/>
  <c r="J65" i="3"/>
  <c r="H65" i="3"/>
  <c r="I65" i="3" s="1"/>
  <c r="K125" i="3"/>
  <c r="J125" i="3"/>
  <c r="H125" i="3"/>
  <c r="L125" i="3" s="1"/>
  <c r="H117" i="3"/>
  <c r="H118" i="3"/>
  <c r="H120" i="3"/>
  <c r="H121" i="3"/>
  <c r="H122" i="3"/>
  <c r="H123" i="3"/>
  <c r="H116" i="3"/>
  <c r="H81" i="3"/>
  <c r="H80" i="3"/>
  <c r="K69" i="3"/>
  <c r="K70" i="3"/>
  <c r="K71" i="3"/>
  <c r="K72" i="3"/>
  <c r="K73" i="3"/>
  <c r="K74" i="3"/>
  <c r="K75" i="3"/>
  <c r="K76" i="3"/>
  <c r="K77" i="3"/>
  <c r="J69" i="3"/>
  <c r="J70" i="3"/>
  <c r="J71" i="3"/>
  <c r="J72" i="3"/>
  <c r="J73" i="3"/>
  <c r="J74" i="3"/>
  <c r="J75" i="3"/>
  <c r="J76" i="3"/>
  <c r="J77" i="3"/>
  <c r="H69" i="3"/>
  <c r="L69" i="3" s="1"/>
  <c r="H70" i="3"/>
  <c r="L70" i="3" s="1"/>
  <c r="H71" i="3"/>
  <c r="L71" i="3" s="1"/>
  <c r="H72" i="3"/>
  <c r="L72" i="3" s="1"/>
  <c r="H73" i="3"/>
  <c r="L73" i="3" s="1"/>
  <c r="H74" i="3"/>
  <c r="L74" i="3" s="1"/>
  <c r="H75" i="3"/>
  <c r="L75" i="3" s="1"/>
  <c r="H76" i="3"/>
  <c r="L76" i="3" s="1"/>
  <c r="H77" i="3"/>
  <c r="L77" i="3" s="1"/>
  <c r="H68" i="3"/>
  <c r="L68" i="3" s="1"/>
  <c r="H64" i="3"/>
  <c r="K29" i="3"/>
  <c r="K30" i="3"/>
  <c r="K31" i="3"/>
  <c r="K94" i="3"/>
  <c r="J43" i="3"/>
  <c r="J44" i="3"/>
  <c r="J45" i="3"/>
  <c r="J46" i="3"/>
  <c r="J47" i="3"/>
  <c r="J48" i="3"/>
  <c r="J49" i="3"/>
  <c r="J50" i="3"/>
  <c r="J42" i="3"/>
  <c r="K43" i="3"/>
  <c r="K44" i="3"/>
  <c r="K45" i="3"/>
  <c r="K46" i="3"/>
  <c r="K47" i="3"/>
  <c r="K48" i="3"/>
  <c r="K49" i="3"/>
  <c r="K50" i="3"/>
  <c r="H63" i="3"/>
  <c r="H43" i="3"/>
  <c r="L43" i="3" s="1"/>
  <c r="H44" i="3"/>
  <c r="I44" i="3" s="1"/>
  <c r="H45" i="3"/>
  <c r="I45" i="3" s="1"/>
  <c r="H46" i="3"/>
  <c r="I46" i="3" s="1"/>
  <c r="H47" i="3"/>
  <c r="I47" i="3" s="1"/>
  <c r="H48" i="3"/>
  <c r="I48" i="3" s="1"/>
  <c r="H49" i="3"/>
  <c r="L49" i="3" s="1"/>
  <c r="H50" i="3"/>
  <c r="I50" i="3" s="1"/>
  <c r="H52" i="3"/>
  <c r="H53" i="3"/>
  <c r="H54" i="3"/>
  <c r="H55" i="3"/>
  <c r="H56" i="3"/>
  <c r="H57" i="3"/>
  <c r="H58" i="3"/>
  <c r="H59" i="3"/>
  <c r="H60" i="3"/>
  <c r="H42" i="3"/>
  <c r="H35" i="3"/>
  <c r="H36" i="3"/>
  <c r="H37" i="3"/>
  <c r="H38" i="3"/>
  <c r="H34" i="3"/>
  <c r="H29" i="3"/>
  <c r="L29" i="3" s="1"/>
  <c r="H30" i="3"/>
  <c r="L30" i="3" s="1"/>
  <c r="H31" i="3"/>
  <c r="L31" i="3" s="1"/>
  <c r="L94" i="3"/>
  <c r="H28" i="3"/>
  <c r="L28" i="3" s="1"/>
  <c r="M88" i="3" l="1"/>
  <c r="M89" i="3"/>
  <c r="M93" i="3"/>
  <c r="M125" i="3"/>
  <c r="M91" i="3"/>
  <c r="I43" i="3"/>
  <c r="L47" i="3"/>
  <c r="M47" i="3" s="1"/>
  <c r="L65" i="3"/>
  <c r="M65" i="3" s="1"/>
  <c r="M70" i="3"/>
  <c r="M76" i="3"/>
  <c r="M72" i="3"/>
  <c r="M43" i="3"/>
  <c r="M74" i="3"/>
  <c r="M75" i="3"/>
  <c r="M71" i="3"/>
  <c r="L50" i="3"/>
  <c r="M50" i="3" s="1"/>
  <c r="L46" i="3"/>
  <c r="M46" i="3" s="1"/>
  <c r="M73" i="3"/>
  <c r="M69" i="3"/>
  <c r="M77" i="3"/>
  <c r="I125" i="3"/>
  <c r="M49" i="3"/>
  <c r="L45" i="3"/>
  <c r="M45" i="3" s="1"/>
  <c r="I49" i="3"/>
  <c r="L48" i="3"/>
  <c r="M48" i="3" s="1"/>
  <c r="L44" i="3"/>
  <c r="M44" i="3" s="1"/>
  <c r="L80" i="3"/>
  <c r="K80" i="3"/>
  <c r="J80" i="3"/>
  <c r="I80" i="3"/>
  <c r="M80" i="3" l="1"/>
  <c r="L92" i="3"/>
  <c r="K92" i="3"/>
  <c r="J92" i="3"/>
  <c r="L90" i="3"/>
  <c r="K90" i="3"/>
  <c r="J90" i="3"/>
  <c r="I90" i="3"/>
  <c r="L87" i="3"/>
  <c r="K87" i="3"/>
  <c r="J87" i="3"/>
  <c r="I87" i="3"/>
  <c r="L86" i="3"/>
  <c r="K86" i="3"/>
  <c r="J86" i="3"/>
  <c r="I86" i="3"/>
  <c r="B86" i="3"/>
  <c r="B87" i="3" s="1"/>
  <c r="B88" i="3" s="1"/>
  <c r="B89" i="3" s="1"/>
  <c r="B90" i="3" s="1"/>
  <c r="B91" i="3" s="1"/>
  <c r="B92" i="3" s="1"/>
  <c r="B93" i="3" s="1"/>
  <c r="B94" i="3" s="1"/>
  <c r="L85" i="3"/>
  <c r="K85" i="3"/>
  <c r="J85" i="3"/>
  <c r="L81" i="3"/>
  <c r="K81" i="3"/>
  <c r="J81" i="3"/>
  <c r="I81" i="3"/>
  <c r="B43" i="3"/>
  <c r="M92" i="3" l="1"/>
  <c r="M90" i="3"/>
  <c r="M81" i="3"/>
  <c r="M83" i="3" s="1"/>
  <c r="O83" i="3" s="1"/>
  <c r="M86" i="3"/>
  <c r="M85" i="3"/>
  <c r="M87" i="3"/>
  <c r="J38" i="3"/>
  <c r="K38" i="3"/>
  <c r="L38" i="3"/>
  <c r="I38" i="3"/>
  <c r="J31" i="3"/>
  <c r="I31" i="3"/>
  <c r="J30" i="3"/>
  <c r="I30" i="3"/>
  <c r="B30" i="3"/>
  <c r="B31" i="3" s="1"/>
  <c r="J29" i="3"/>
  <c r="I29" i="3"/>
  <c r="M38" i="3" l="1"/>
  <c r="M29" i="3"/>
  <c r="M31" i="3"/>
  <c r="M30" i="3"/>
  <c r="L34" i="3"/>
  <c r="L35" i="3"/>
  <c r="L36" i="3"/>
  <c r="L37" i="3"/>
  <c r="L42" i="3"/>
  <c r="L52" i="3"/>
  <c r="L53" i="3"/>
  <c r="L54" i="3"/>
  <c r="L55" i="3"/>
  <c r="L56" i="3"/>
  <c r="L57" i="3"/>
  <c r="L58" i="3"/>
  <c r="L59" i="3"/>
  <c r="L60" i="3"/>
  <c r="L63" i="3"/>
  <c r="L64" i="3"/>
  <c r="L98" i="3"/>
  <c r="L116" i="3"/>
  <c r="L117" i="3"/>
  <c r="L118" i="3"/>
  <c r="L120" i="3"/>
  <c r="L121" i="3"/>
  <c r="L122" i="3"/>
  <c r="L123" i="3"/>
  <c r="K34" i="3"/>
  <c r="K35" i="3"/>
  <c r="K36" i="3"/>
  <c r="K37" i="3"/>
  <c r="K42" i="3"/>
  <c r="K52" i="3"/>
  <c r="K53" i="3"/>
  <c r="K54" i="3"/>
  <c r="K55" i="3"/>
  <c r="K56" i="3"/>
  <c r="K57" i="3"/>
  <c r="K58" i="3"/>
  <c r="K59" i="3"/>
  <c r="K60" i="3"/>
  <c r="K63" i="3"/>
  <c r="K64" i="3"/>
  <c r="K68" i="3"/>
  <c r="K98" i="3"/>
  <c r="K116" i="3"/>
  <c r="K117" i="3"/>
  <c r="K118" i="3"/>
  <c r="K120" i="3"/>
  <c r="K121" i="3"/>
  <c r="K122" i="3"/>
  <c r="K123" i="3"/>
  <c r="J94" i="3"/>
  <c r="J34" i="3"/>
  <c r="J35" i="3"/>
  <c r="J36" i="3"/>
  <c r="J37" i="3"/>
  <c r="J52" i="3"/>
  <c r="J53" i="3"/>
  <c r="J54" i="3"/>
  <c r="J55" i="3"/>
  <c r="J56" i="3"/>
  <c r="J57" i="3"/>
  <c r="J58" i="3"/>
  <c r="J59" i="3"/>
  <c r="J60" i="3"/>
  <c r="J63" i="3"/>
  <c r="J64" i="3"/>
  <c r="J68" i="3"/>
  <c r="J98" i="3"/>
  <c r="J116" i="3"/>
  <c r="J117" i="3"/>
  <c r="J118" i="3"/>
  <c r="J120" i="3"/>
  <c r="J121" i="3"/>
  <c r="J122" i="3"/>
  <c r="J123" i="3"/>
  <c r="I34" i="3"/>
  <c r="I35" i="3"/>
  <c r="I36" i="3"/>
  <c r="I37" i="3"/>
  <c r="I42" i="3"/>
  <c r="I52" i="3"/>
  <c r="I53" i="3"/>
  <c r="I54" i="3"/>
  <c r="I55" i="3"/>
  <c r="I56" i="3"/>
  <c r="I57" i="3"/>
  <c r="I58" i="3"/>
  <c r="I59" i="3"/>
  <c r="I60" i="3"/>
  <c r="I63" i="3"/>
  <c r="I64" i="3"/>
  <c r="I68" i="3"/>
  <c r="I69" i="3"/>
  <c r="I70" i="3"/>
  <c r="I71" i="3"/>
  <c r="I72" i="3"/>
  <c r="I73" i="3"/>
  <c r="I74" i="3"/>
  <c r="I75" i="3"/>
  <c r="I76" i="3"/>
  <c r="I77" i="3"/>
  <c r="I98" i="3"/>
  <c r="I116" i="3"/>
  <c r="I117" i="3"/>
  <c r="I118" i="3"/>
  <c r="I120" i="3"/>
  <c r="I121" i="3"/>
  <c r="I122" i="3"/>
  <c r="I123" i="3"/>
  <c r="I28" i="3"/>
  <c r="K28" i="3"/>
  <c r="J28" i="3"/>
  <c r="M98" i="3" l="1"/>
  <c r="M113" i="3" s="1"/>
  <c r="O113" i="3" s="1"/>
  <c r="M64" i="3"/>
  <c r="M28" i="3"/>
  <c r="M123" i="3"/>
  <c r="M37" i="3"/>
  <c r="M94" i="3"/>
  <c r="M95" i="3" s="1"/>
  <c r="O95" i="3" s="1"/>
  <c r="M118" i="3"/>
  <c r="M68" i="3"/>
  <c r="M59" i="3"/>
  <c r="M55" i="3"/>
  <c r="M120" i="3"/>
  <c r="M34" i="3"/>
  <c r="M57" i="3"/>
  <c r="M53" i="3"/>
  <c r="M35" i="3"/>
  <c r="M122" i="3"/>
  <c r="M117" i="3"/>
  <c r="M58" i="3"/>
  <c r="M54" i="3"/>
  <c r="M36" i="3"/>
  <c r="M121" i="3"/>
  <c r="M116" i="3"/>
  <c r="M63" i="3"/>
  <c r="M42" i="3"/>
  <c r="M60" i="3"/>
  <c r="M56" i="3"/>
  <c r="M52" i="3"/>
  <c r="B89" i="9"/>
  <c r="B90" i="9" s="1"/>
  <c r="B92" i="9" s="1"/>
  <c r="B93" i="9" s="1"/>
  <c r="B94" i="9" s="1"/>
  <c r="B95" i="9" s="1"/>
  <c r="M66" i="3" l="1"/>
  <c r="O66" i="3" s="1"/>
  <c r="M32" i="3"/>
  <c r="O32" i="3" s="1"/>
  <c r="M126" i="3"/>
  <c r="O126" i="3" s="1"/>
  <c r="B117" i="3"/>
  <c r="B118" i="3" s="1"/>
  <c r="B120" i="3" s="1"/>
  <c r="B121" i="3" s="1"/>
  <c r="B122" i="3" s="1"/>
  <c r="B123" i="3" s="1"/>
  <c r="B125" i="3" s="1"/>
  <c r="I33" i="9"/>
  <c r="B34" i="9"/>
  <c r="B35" i="9" s="1"/>
  <c r="I30" i="9"/>
  <c r="B29" i="9"/>
  <c r="B30" i="9" s="1"/>
  <c r="I29" i="9"/>
  <c r="I95" i="9"/>
  <c r="G95" i="9"/>
  <c r="I94" i="9"/>
  <c r="G94" i="9"/>
  <c r="I93" i="9"/>
  <c r="G93" i="9"/>
  <c r="I92" i="9"/>
  <c r="G92" i="9"/>
  <c r="I90" i="9"/>
  <c r="I89" i="9"/>
  <c r="I88" i="9"/>
  <c r="I79" i="9"/>
  <c r="I78" i="9"/>
  <c r="I77" i="9"/>
  <c r="I76" i="9"/>
  <c r="B76" i="9"/>
  <c r="B77" i="9" s="1"/>
  <c r="B78" i="9" s="1"/>
  <c r="B79" i="9" s="1"/>
  <c r="I75" i="9"/>
  <c r="I72" i="9"/>
  <c r="I71" i="9"/>
  <c r="I70" i="9"/>
  <c r="I69" i="9"/>
  <c r="I68" i="9"/>
  <c r="I67" i="9"/>
  <c r="I66" i="9"/>
  <c r="I65" i="9"/>
  <c r="I64" i="9"/>
  <c r="B64" i="9"/>
  <c r="B65" i="9" s="1"/>
  <c r="B66" i="9" s="1"/>
  <c r="B67" i="9" s="1"/>
  <c r="B68" i="9" s="1"/>
  <c r="B69" i="9" s="1"/>
  <c r="B70" i="9" s="1"/>
  <c r="B71" i="9" s="1"/>
  <c r="B72" i="9" s="1"/>
  <c r="I63" i="9"/>
  <c r="I59" i="9"/>
  <c r="I58" i="9"/>
  <c r="I55" i="9"/>
  <c r="I54" i="9"/>
  <c r="I53" i="9"/>
  <c r="I52" i="9"/>
  <c r="I51" i="9"/>
  <c r="I50" i="9"/>
  <c r="I49" i="9"/>
  <c r="I48" i="9"/>
  <c r="I47" i="9"/>
  <c r="I45" i="9"/>
  <c r="I44" i="9"/>
  <c r="I41" i="9"/>
  <c r="I40" i="9"/>
  <c r="B40" i="9"/>
  <c r="B41" i="9" s="1"/>
  <c r="B42" i="9" s="1"/>
  <c r="B43" i="9" s="1"/>
  <c r="B44" i="9" s="1"/>
  <c r="B45" i="9" s="1"/>
  <c r="B47" i="9" s="1"/>
  <c r="B48" i="9" s="1"/>
  <c r="B49" i="9" s="1"/>
  <c r="B50" i="9" s="1"/>
  <c r="B51" i="9" s="1"/>
  <c r="B52" i="9" s="1"/>
  <c r="B53" i="9" s="1"/>
  <c r="B54" i="9" s="1"/>
  <c r="B55" i="9" s="1"/>
  <c r="I39" i="9"/>
  <c r="I35" i="9"/>
  <c r="I34" i="9"/>
  <c r="I28" i="9"/>
  <c r="B10" i="9"/>
  <c r="B11" i="9" s="1"/>
  <c r="B12" i="9" s="1"/>
  <c r="B13" i="9" s="1"/>
  <c r="B14" i="9" s="1"/>
  <c r="B15" i="9" s="1"/>
  <c r="B16" i="9" s="1"/>
  <c r="B17" i="9" s="1"/>
  <c r="B18" i="9" s="1"/>
  <c r="B19" i="9" s="1"/>
  <c r="B20" i="9" s="1"/>
  <c r="B21" i="9" s="1"/>
  <c r="B22" i="9" s="1"/>
  <c r="B23" i="9" s="1"/>
  <c r="I60" i="9" l="1"/>
  <c r="I80" i="9"/>
  <c r="I31" i="9"/>
  <c r="I36" i="9"/>
  <c r="K72" i="9"/>
  <c r="K59" i="9"/>
  <c r="I56" i="9"/>
  <c r="K55" i="9"/>
  <c r="K84" i="9"/>
  <c r="I73" i="9"/>
  <c r="I96" i="9"/>
  <c r="I85" i="9"/>
  <c r="K95" i="9"/>
  <c r="K98" i="9" l="1"/>
  <c r="D98" i="9"/>
  <c r="M78" i="3" l="1"/>
  <c r="O78" i="3" s="1"/>
  <c r="M61" i="3"/>
  <c r="O61" i="3" s="1"/>
  <c r="M39" i="3"/>
  <c r="O39" i="3" s="1"/>
  <c r="B99" i="3"/>
  <c r="B69" i="3"/>
  <c r="B70" i="3" s="1"/>
  <c r="B71" i="3" s="1"/>
  <c r="B72" i="3" s="1"/>
  <c r="B73" i="3" s="1"/>
  <c r="B74" i="3" s="1"/>
  <c r="B75" i="3" s="1"/>
  <c r="B76" i="3" s="1"/>
  <c r="B77" i="3" s="1"/>
  <c r="B101" i="3" l="1"/>
  <c r="B102" i="3" s="1"/>
  <c r="B103" i="3" s="1"/>
  <c r="B104" i="3" s="1"/>
  <c r="B105" i="3" s="1"/>
  <c r="B106" i="3" s="1"/>
  <c r="B108" i="3" s="1"/>
  <c r="B109" i="3" s="1"/>
  <c r="B110" i="3" s="1"/>
  <c r="B111" i="3" s="1"/>
  <c r="B112" i="3" s="1"/>
  <c r="B44" i="3"/>
  <c r="B45" i="3" s="1"/>
  <c r="B46" i="3" s="1"/>
  <c r="B47" i="3" s="1"/>
  <c r="B48" i="3" s="1"/>
  <c r="B49" i="3" s="1"/>
  <c r="B50" i="3" s="1"/>
  <c r="B35" i="3"/>
  <c r="B36" i="3" s="1"/>
  <c r="B37" i="3" s="1"/>
  <c r="B38" i="3" s="1"/>
  <c r="B10" i="3"/>
  <c r="B11" i="3" s="1"/>
  <c r="B12" i="3" s="1"/>
  <c r="B13" i="3" s="1"/>
  <c r="B14" i="3" s="1"/>
  <c r="B15" i="3" s="1"/>
  <c r="B16" i="3" s="1"/>
  <c r="B17" i="3" s="1"/>
  <c r="B18" i="3" s="1"/>
  <c r="B19" i="3" s="1"/>
  <c r="B20" i="3" s="1"/>
  <c r="B21" i="3" s="1"/>
  <c r="B22" i="3" s="1"/>
  <c r="B23" i="3" s="1"/>
  <c r="B52" i="3" l="1"/>
  <c r="B53" i="3" s="1"/>
  <c r="B54" i="3" s="1"/>
  <c r="B55" i="3" s="1"/>
  <c r="B56" i="3" s="1"/>
  <c r="B57" i="3" s="1"/>
  <c r="B58" i="3" s="1"/>
  <c r="B59" i="3" s="1"/>
  <c r="B60" i="3" s="1"/>
  <c r="F13" i="8"/>
  <c r="F12" i="8"/>
  <c r="F10" i="8"/>
  <c r="H9" i="8" s="1"/>
  <c r="F8" i="8"/>
  <c r="F7" i="8"/>
  <c r="F6" i="8"/>
  <c r="F5" i="8"/>
  <c r="F4" i="8"/>
  <c r="F3" i="8"/>
  <c r="H11" i="8" l="1"/>
  <c r="F15" i="8"/>
  <c r="H2" i="8"/>
  <c r="H15" i="8" l="1"/>
  <c r="F27" i="7"/>
  <c r="F26" i="7"/>
  <c r="F25" i="7"/>
  <c r="F23" i="7"/>
  <c r="H21" i="7" s="1"/>
  <c r="F4" i="7"/>
  <c r="F5" i="7"/>
  <c r="F6" i="7"/>
  <c r="F7" i="7"/>
  <c r="F8" i="7"/>
  <c r="F10" i="7"/>
  <c r="F11" i="7"/>
  <c r="F12" i="7"/>
  <c r="F13" i="7"/>
  <c r="F15" i="7"/>
  <c r="F16" i="7"/>
  <c r="F17" i="7"/>
  <c r="F18" i="7"/>
  <c r="F19" i="7"/>
  <c r="F20" i="7"/>
  <c r="H14" i="7" l="1"/>
  <c r="H24" i="7"/>
  <c r="H9" i="7"/>
  <c r="F3" i="7" l="1"/>
  <c r="H2" i="7" s="1"/>
  <c r="H29" i="7" l="1"/>
  <c r="F29" i="7"/>
  <c r="I40" i="6" l="1"/>
  <c r="H37" i="5" l="1"/>
  <c r="I25" i="6" l="1"/>
  <c r="I27" i="6" s="1"/>
  <c r="M23" i="6" l="1"/>
  <c r="O128" i="3" l="1"/>
  <c r="D128" i="3" s="1"/>
</calcChain>
</file>

<file path=xl/sharedStrings.xml><?xml version="1.0" encoding="utf-8"?>
<sst xmlns="http://schemas.openxmlformats.org/spreadsheetml/2006/main" count="8139" uniqueCount="1707">
  <si>
    <t>UNIT</t>
  </si>
  <si>
    <t>set</t>
  </si>
  <si>
    <t>QTY</t>
  </si>
  <si>
    <t>FLOORING WORKS</t>
  </si>
  <si>
    <t>INDIRECT COST</t>
  </si>
  <si>
    <t>lot</t>
  </si>
  <si>
    <t xml:space="preserve">Project: </t>
  </si>
  <si>
    <t>RENOVATION OF INSTITUTIONAL BUILDING (COLLEGE OF ENGINEERING)</t>
  </si>
  <si>
    <t xml:space="preserve">Location: </t>
  </si>
  <si>
    <t>MAIN CAMPUS, TARLAC STATE UNIVERSITY, TARLAC CITY</t>
  </si>
  <si>
    <t>Recommending Approval:</t>
  </si>
  <si>
    <t>Approved:</t>
  </si>
  <si>
    <t>DR. LORNA L. DIMATULAC, DPA</t>
  </si>
  <si>
    <t>DR. MYRNA Q. MALLARI, DBA</t>
  </si>
  <si>
    <t>Director - InfraManagement Office</t>
  </si>
  <si>
    <t>VP for Administration and Finance</t>
  </si>
  <si>
    <t>President</t>
  </si>
  <si>
    <t>ENGR. RYAN M. LAYUG</t>
  </si>
  <si>
    <t>pc.</t>
  </si>
  <si>
    <t>DESCRIPTION</t>
  </si>
  <si>
    <t>IMO Director</t>
  </si>
  <si>
    <t>Approved by:</t>
  </si>
  <si>
    <t>CM: PhP (*)</t>
  </si>
  <si>
    <t>A &amp; E: Php (*)</t>
  </si>
  <si>
    <t>Ceiling replacement, tiling, painting of wall and ceiling, replacement of doors and windows, installation of black/white board in the Right and Left Wing of the COE Building.</t>
  </si>
  <si>
    <t>Description of additional work to be performed:</t>
  </si>
  <si>
    <t>(Sheet no.):</t>
  </si>
  <si>
    <t>No</t>
  </si>
  <si>
    <t>Is dwg. required?</t>
  </si>
  <si>
    <t xml:space="preserve"> (List contracts by no.)</t>
  </si>
  <si>
    <t>Other contracts involved are as follows</t>
  </si>
  <si>
    <t>Yes</t>
  </si>
  <si>
    <t>Contractor authorized to proceed with this change</t>
  </si>
  <si>
    <t>To meet the needs of the end-user.</t>
  </si>
  <si>
    <t>Additional works order justification</t>
  </si>
  <si>
    <t>Actual job condition in area of proposed additional works</t>
  </si>
  <si>
    <t>End-user</t>
  </si>
  <si>
    <t>Date:</t>
  </si>
  <si>
    <t>IMO Engineer/Architect</t>
  </si>
  <si>
    <t xml:space="preserve">DR. MIRIAM S. GALVEZ </t>
  </si>
  <si>
    <t>Submitted by:</t>
  </si>
  <si>
    <t>Contractor</t>
  </si>
  <si>
    <t>Owner</t>
  </si>
  <si>
    <t>Project:</t>
  </si>
  <si>
    <t>INFRASTRUCTURE MANAGEMENT OFFICE</t>
  </si>
  <si>
    <t>To:</t>
  </si>
  <si>
    <t>NO.   1</t>
  </si>
  <si>
    <t>Tarlac City, Tarlac</t>
  </si>
  <si>
    <t>TARLAC STATE UNIVERSITY</t>
  </si>
  <si>
    <t>Noted by:</t>
  </si>
  <si>
    <t>Dean, COE</t>
  </si>
  <si>
    <t xml:space="preserve"> </t>
  </si>
  <si>
    <t>Requested by:</t>
  </si>
  <si>
    <t>To be effective, the owner must approve this order/request especially if it changes the scope or objective of the project, or as may otherwise be required by the supplemental agreement general conditions.</t>
  </si>
  <si>
    <t>Approvals required:</t>
  </si>
  <si>
    <t>months</t>
  </si>
  <si>
    <t>this additional work will now be:</t>
  </si>
  <si>
    <t>The new date of completion of all works including</t>
  </si>
  <si>
    <t>by:</t>
  </si>
  <si>
    <t>decreased</t>
  </si>
  <si>
    <t>increased</t>
  </si>
  <si>
    <t>The contract time due to additional work will now be</t>
  </si>
  <si>
    <t>Original contract time:</t>
  </si>
  <si>
    <t>Change in contract time:</t>
  </si>
  <si>
    <t>__________________________</t>
  </si>
  <si>
    <t>this additional work order will now be:</t>
  </si>
  <si>
    <t>calendar days</t>
  </si>
  <si>
    <t>_____</t>
  </si>
  <si>
    <t>The contract time due to this additional work order will now be</t>
  </si>
  <si>
    <t>PhP</t>
  </si>
  <si>
    <t>will now be in the amount of:</t>
  </si>
  <si>
    <t>The new contract price including the additional work order</t>
  </si>
  <si>
    <t>in the amount of:</t>
  </si>
  <si>
    <t>The contract price due to this additional work order will now be</t>
  </si>
  <si>
    <t>Original contract price:</t>
  </si>
  <si>
    <t>Change in contract price:</t>
  </si>
  <si>
    <t>Justification:</t>
  </si>
  <si>
    <t>The following additional works are hereby made to the contract documents:</t>
  </si>
  <si>
    <t>:</t>
  </si>
  <si>
    <t>Date</t>
  </si>
  <si>
    <t>Project</t>
  </si>
  <si>
    <t>CAD CONSTRUCTION</t>
  </si>
  <si>
    <t>To</t>
  </si>
  <si>
    <t xml:space="preserve">NO. </t>
  </si>
  <si>
    <t>ADDITIONAL WORK ORDER AUTHORIZATION</t>
  </si>
  <si>
    <t xml:space="preserve">Estimated effect on costs of  </t>
  </si>
  <si>
    <t>PhP.</t>
  </si>
  <si>
    <t>ENGR. EDWIN L. DELA VEGA</t>
  </si>
  <si>
    <t>DR. MYRNA Q. MALLARI</t>
  </si>
  <si>
    <t>INITIATOR ADDITIONAL WORK REQUEST</t>
  </si>
  <si>
    <t>Need of ceiling replacement, tiling, painting of wall and ceiling, replacement of doors and windows, installation of black/white board in the Right and Left Wing of the COE Building.</t>
  </si>
  <si>
    <t>Electrical</t>
  </si>
  <si>
    <t>ENGR. CRISPIN I. FLORA</t>
  </si>
  <si>
    <t>ARCH. EDUARDO T. QUINTERO</t>
  </si>
  <si>
    <t>Civil</t>
  </si>
  <si>
    <t>Duration:</t>
  </si>
  <si>
    <t>100 CALENDAR DAYS</t>
  </si>
  <si>
    <t>Checked by:</t>
  </si>
  <si>
    <t>m</t>
  </si>
  <si>
    <t>Marine Plyboard 3/4"</t>
  </si>
  <si>
    <t>Qty.</t>
  </si>
  <si>
    <t>Price</t>
  </si>
  <si>
    <t>Material</t>
  </si>
  <si>
    <t>Welding Rod</t>
  </si>
  <si>
    <t>Unit</t>
  </si>
  <si>
    <t>kg.</t>
  </si>
  <si>
    <t>Bolt 2-1/2"</t>
  </si>
  <si>
    <t>Black Board</t>
  </si>
  <si>
    <t>White Board</t>
  </si>
  <si>
    <t>Aluminum Edging</t>
  </si>
  <si>
    <t>Glue</t>
  </si>
  <si>
    <t>Railing</t>
  </si>
  <si>
    <t>Top Railing</t>
  </si>
  <si>
    <t>Top Roller</t>
  </si>
  <si>
    <t>Bottom Railing</t>
  </si>
  <si>
    <t>Bottom Roller</t>
  </si>
  <si>
    <t>Bracket 1"</t>
  </si>
  <si>
    <t>Finishing</t>
  </si>
  <si>
    <t>Painting</t>
  </si>
  <si>
    <t xml:space="preserve">sq. m. </t>
  </si>
  <si>
    <t xml:space="preserve">Labor </t>
  </si>
  <si>
    <t>Steel Framing</t>
  </si>
  <si>
    <t>sq. ft.</t>
  </si>
  <si>
    <t>Board Covering</t>
  </si>
  <si>
    <t>lot.</t>
  </si>
  <si>
    <t>Railing Assembly</t>
  </si>
  <si>
    <t>Total</t>
  </si>
  <si>
    <t xml:space="preserve">Screw </t>
  </si>
  <si>
    <t>Formica White</t>
  </si>
  <si>
    <t>Marine Plywood 1/2"</t>
  </si>
  <si>
    <t>Bracket 2-1/2"</t>
  </si>
  <si>
    <t>1-1/2" x 1-1/2" x 1.5 mm</t>
  </si>
  <si>
    <t>Hardilite 3.5mm</t>
  </si>
  <si>
    <t>quart</t>
  </si>
  <si>
    <t>qrt.</t>
  </si>
  <si>
    <t>Steel Painting</t>
  </si>
  <si>
    <t>gal.</t>
  </si>
  <si>
    <t>Subject:</t>
  </si>
  <si>
    <t>ITEM NO.</t>
  </si>
  <si>
    <t>MATERIAL COST</t>
  </si>
  <si>
    <t>LABOR COST</t>
  </si>
  <si>
    <t>ELECTRICAL WORKS</t>
  </si>
  <si>
    <t>FURNITURES</t>
  </si>
  <si>
    <t>Clerical Table</t>
  </si>
  <si>
    <t>Conference Table - 8 seater</t>
  </si>
  <si>
    <t>Clerical Chair</t>
  </si>
  <si>
    <t>AIR-CONDITIONER &amp; EXHAUST FAN</t>
  </si>
  <si>
    <t>DOORS AND WINDOWS</t>
  </si>
  <si>
    <t>APPLIANCES</t>
  </si>
  <si>
    <t>LED Projector</t>
  </si>
  <si>
    <t xml:space="preserve">WORKING STATION </t>
  </si>
  <si>
    <t>WALL PARTITIONING WORKS</t>
  </si>
  <si>
    <t>Wall Hung Lavatory</t>
  </si>
  <si>
    <t>SANITARY WARES</t>
  </si>
  <si>
    <t>PAINTING WORKS</t>
  </si>
  <si>
    <t>Computer Desktop w/ complete accessories</t>
  </si>
  <si>
    <t>2.5 HP Air-Conditioner Remote Type</t>
  </si>
  <si>
    <t>Table Cabinet W=0.8m x L=1.6m x H=30"</t>
  </si>
  <si>
    <t>Arm Chair (Director's Office)</t>
  </si>
  <si>
    <t>Swivel Chair (Planning &amp; Monitoring Department)</t>
  </si>
  <si>
    <t>Sofa with Center Table (Lounge Area)</t>
  </si>
  <si>
    <t>Window Blind 2 - 1.7m x 1.8m (Planning Department)</t>
  </si>
  <si>
    <t>Window Blind 1 - 1.7m x 3m (Monitoring Department, Director's Office &amp; Lounging Area)</t>
  </si>
  <si>
    <t>Window Blind 3 - 1.6m x 1.8m  (Director's Office)</t>
  </si>
  <si>
    <t>Window Blind 4 - 1.8m x 2.4m (Director's Office)</t>
  </si>
  <si>
    <t>Door Blind 5 - 0.8m x 2.1m (Director's Office)</t>
  </si>
  <si>
    <t>Finishing Nails - Assorted</t>
  </si>
  <si>
    <t>Sand Paper #220</t>
  </si>
  <si>
    <t>Sand Paper #120</t>
  </si>
  <si>
    <t>Executive Table</t>
  </si>
  <si>
    <t>Executive Chair</t>
  </si>
  <si>
    <t>Paint Brush 2-1/2"</t>
  </si>
  <si>
    <t>box</t>
  </si>
  <si>
    <t>Laminated Flooring w/ foam (120 sq. m)</t>
  </si>
  <si>
    <t>lit.</t>
  </si>
  <si>
    <t>Stickwell Glue</t>
  </si>
  <si>
    <t>1/2" x 1" x 10' Wood Edging</t>
  </si>
  <si>
    <t>-</t>
  </si>
  <si>
    <t>Masonry Putty</t>
  </si>
  <si>
    <t>Tools and other materials</t>
  </si>
  <si>
    <t>Primer</t>
  </si>
  <si>
    <t>Rough Carpentry</t>
  </si>
  <si>
    <t>Lacquer Primer</t>
  </si>
  <si>
    <t>Lacquer Putty</t>
  </si>
  <si>
    <t>Lacquer Thinner</t>
  </si>
  <si>
    <t>Retardant Lacquer Flo</t>
  </si>
  <si>
    <t>Lacquer Tinting Color</t>
  </si>
  <si>
    <t>Framing</t>
  </si>
  <si>
    <t>`</t>
  </si>
  <si>
    <t>+</t>
  </si>
  <si>
    <t xml:space="preserve">  </t>
  </si>
  <si>
    <t>3" x 3" x 5mm x 20' Angle Bar</t>
  </si>
  <si>
    <t>2" x 2" x 5mm x 20' Angle Bar</t>
  </si>
  <si>
    <t>TOTAL MATERIAL COST</t>
  </si>
  <si>
    <t>4' x 8' x 3/4" Marine Plywood</t>
  </si>
  <si>
    <t>0.2m x 0.3m x 1/4" Ordinary Glass</t>
  </si>
  <si>
    <t>4' x 8' x 6mm Hardiflex Board</t>
  </si>
  <si>
    <t>pcs.</t>
  </si>
  <si>
    <t>35mm x 92mm x 3m U-track w/ G24 (0.6mm)</t>
  </si>
  <si>
    <t>35mm x 92mm x 3m C-Stud w/ G24 (0.6mm)</t>
  </si>
  <si>
    <t>1/4" Swing Tempered Glass Door Brown on Analok Frame 0.8m x 2.1m</t>
  </si>
  <si>
    <t>1/4" Fixed Ordinary Glass Window Brown on Analok Frame 1.8m x 1.6m</t>
  </si>
  <si>
    <t>1/4" Fixed Ordinary Glass Window Brown on Analok Frame 1.8m x 2.4m</t>
  </si>
  <si>
    <t>Hardiflex Screw</t>
  </si>
  <si>
    <t>Metal Screw</t>
  </si>
  <si>
    <t>Concrete Nail 1"</t>
  </si>
  <si>
    <t xml:space="preserve">TOTAL AMOUNT </t>
  </si>
  <si>
    <t>Prepared by:</t>
  </si>
  <si>
    <t>Subtotal</t>
  </si>
  <si>
    <r>
      <t xml:space="preserve">PVC E-Pipe 20mm </t>
    </r>
    <r>
      <rPr>
        <sz val="14"/>
        <rFont val="Calibri"/>
        <family val="2"/>
      </rPr>
      <t>Φ</t>
    </r>
    <r>
      <rPr>
        <sz val="14"/>
        <rFont val="Calibri"/>
        <family val="2"/>
        <scheme val="minor"/>
      </rPr>
      <t xml:space="preserve"> x 3.0m</t>
    </r>
  </si>
  <si>
    <t>Electric Wire #10</t>
  </si>
  <si>
    <t>Electrical Tape</t>
  </si>
  <si>
    <t>1 Gang Airconditioning Unit Outlet</t>
  </si>
  <si>
    <t>PVC E-Utility Box</t>
  </si>
  <si>
    <t>roll</t>
  </si>
  <si>
    <t>1.5 HP Air-Conditioner Remote Type</t>
  </si>
  <si>
    <t>1 HP Air-Conditioner Remote Type</t>
  </si>
  <si>
    <t>PROPOSED NEW PHYSICAL PLANT OFFICE</t>
  </si>
  <si>
    <t>DETAILED ESTIMATE</t>
  </si>
  <si>
    <t>1/4" Fixed Ordinary Glass Window Brown on Analok Frame 1.8m x 0.8m</t>
  </si>
  <si>
    <t>Interior Repainting (150 sq. m.)</t>
  </si>
  <si>
    <t>Drywall Painting (40 sq. m.)</t>
  </si>
  <si>
    <t>Drywall Painting (78 sq. m. )</t>
  </si>
  <si>
    <t>Interior Repainting (115 sq. m.)</t>
  </si>
  <si>
    <t>Lacquer Paint</t>
  </si>
  <si>
    <t>Cabinet Pull</t>
  </si>
  <si>
    <t>1-1/2"  x 1/4" Expansion bolt</t>
  </si>
  <si>
    <t>Latex Paint (Ready Mix)</t>
  </si>
  <si>
    <t>Drawer Guide (Full Extension)</t>
  </si>
  <si>
    <t>Base Board 4" x 8'</t>
  </si>
  <si>
    <t>TOTAL</t>
  </si>
  <si>
    <t>UNIT COST</t>
  </si>
  <si>
    <t>TOTAL ITEM COST</t>
  </si>
  <si>
    <t>TOTAL AMOUNT IN FIGURES</t>
  </si>
  <si>
    <t>TOTAL AMOUNT IN WORDS</t>
  </si>
  <si>
    <t>Exhaust Fan Ceiling Type 12"</t>
  </si>
  <si>
    <t>Stainless Pipehood with stainless mesh</t>
  </si>
  <si>
    <r>
      <t>Aluminum Flexible Duct 100mm</t>
    </r>
    <r>
      <rPr>
        <sz val="14"/>
        <rFont val="Calibri"/>
        <family val="2"/>
      </rPr>
      <t>Φ</t>
    </r>
    <r>
      <rPr>
        <sz val="9.8000000000000007"/>
        <rFont val="Calibri"/>
        <family val="2"/>
      </rPr>
      <t xml:space="preserve"> </t>
    </r>
    <r>
      <rPr>
        <sz val="14"/>
        <rFont val="Calibri"/>
        <family val="2"/>
        <scheme val="minor"/>
      </rPr>
      <t>x 3m</t>
    </r>
  </si>
  <si>
    <t>Cabinet Concealed Hydraulic Hinge, Overlapped Type</t>
  </si>
  <si>
    <t>Drawer Lock, Bronze</t>
  </si>
  <si>
    <r>
      <t xml:space="preserve">1/4" </t>
    </r>
    <r>
      <rPr>
        <sz val="14"/>
        <rFont val="Calibri"/>
        <family val="2"/>
      </rPr>
      <t>Φ</t>
    </r>
    <r>
      <rPr>
        <sz val="9.8000000000000007"/>
        <rFont val="Calibri"/>
        <family val="2"/>
      </rPr>
      <t xml:space="preserve"> x </t>
    </r>
    <r>
      <rPr>
        <sz val="14"/>
        <rFont val="Calibri"/>
        <family val="2"/>
        <scheme val="minor"/>
      </rPr>
      <t>1-1/2"  Expansion bolt</t>
    </r>
  </si>
  <si>
    <t>PLUMBING WORKS</t>
  </si>
  <si>
    <t>STRUCTURAL WORKS</t>
  </si>
  <si>
    <t>Fixtures and Accessories</t>
  </si>
  <si>
    <t>Sanitary Pipes and Fittings</t>
  </si>
  <si>
    <t>2" Wye</t>
  </si>
  <si>
    <t>2" 1/8 Bend</t>
  </si>
  <si>
    <t xml:space="preserve">Bidet Spray Set Heavy Duty, Brass Chrome </t>
  </si>
  <si>
    <t>2" Sanitary Tee</t>
  </si>
  <si>
    <t>2" Cleanout</t>
  </si>
  <si>
    <t>2" Sanitary PVC Pipe</t>
  </si>
  <si>
    <t>Water Distribution Pipes and Fittings</t>
  </si>
  <si>
    <t>Aluminum Faucet</t>
  </si>
  <si>
    <t>1/2" Tee</t>
  </si>
  <si>
    <t>1/2" Elbow</t>
  </si>
  <si>
    <t>1/2" Faucet Elbow</t>
  </si>
  <si>
    <t>Common Toilet Door Renovation, Lavatory Cover Partitioning and Topping</t>
  </si>
  <si>
    <t>Demolition of Common Toilet Door</t>
  </si>
  <si>
    <t>Exterior Painting (20 sq. m.)</t>
  </si>
  <si>
    <t>Common Toilet and Lavatory Cover Partition</t>
  </si>
  <si>
    <t>sq.m.</t>
  </si>
  <si>
    <t>Reducer Transition Moulding</t>
  </si>
  <si>
    <t xml:space="preserve">Base Board  4" x 8' </t>
  </si>
  <si>
    <t>Solvent Cement 200cc</t>
  </si>
  <si>
    <r>
      <t xml:space="preserve">PVC E-Coupling 20mm </t>
    </r>
    <r>
      <rPr>
        <sz val="14"/>
        <rFont val="Calibri"/>
        <family val="2"/>
      </rPr>
      <t>Φ</t>
    </r>
    <r>
      <rPr>
        <sz val="14"/>
        <rFont val="Calibri"/>
        <family val="2"/>
        <scheme val="minor"/>
      </rPr>
      <t xml:space="preserve"> </t>
    </r>
  </si>
  <si>
    <t>Air-Conditioner Steel Frame Supports</t>
  </si>
  <si>
    <t>1/4" Swing Ordinary Glass Door Brown on Analok Frame 0.8m x 2.1m</t>
  </si>
  <si>
    <t>1/4" Sliding Ordinary Glass Door Clear on Analok Frame 2.5m x 2.1m</t>
  </si>
  <si>
    <t>JESUS S. DANGANAN</t>
  </si>
  <si>
    <t>Budget Officer</t>
  </si>
  <si>
    <t>Funds Available:</t>
  </si>
  <si>
    <t>PROPOSED NEW IMO-PPO OFFICE</t>
  </si>
  <si>
    <t>0.6 x 2.1m PVC Door with louver and Door Jamb, with complete accessories</t>
  </si>
  <si>
    <t>Drawer Pull, Stainless Steel 4.5" Round Handle</t>
  </si>
  <si>
    <t>Cabinet Pull, Stainless Steel 4.5" Round Handle</t>
  </si>
  <si>
    <t>Drawer Guide, Full Extension 14" Bearing Type Powder Coated</t>
  </si>
  <si>
    <t>Electric Wire #10 x 150m (5.5 sq.mm)</t>
  </si>
  <si>
    <r>
      <t xml:space="preserve">PVC E-Long Elbow 20mm </t>
    </r>
    <r>
      <rPr>
        <sz val="14"/>
        <rFont val="Calibri"/>
        <family val="2"/>
      </rPr>
      <t>Φ</t>
    </r>
    <r>
      <rPr>
        <sz val="14"/>
        <rFont val="Calibri"/>
        <family val="2"/>
        <scheme val="minor"/>
      </rPr>
      <t xml:space="preserve"> </t>
    </r>
  </si>
  <si>
    <t>PVC E-Junction Box w/ cover</t>
  </si>
  <si>
    <r>
      <t xml:space="preserve">PVC E-Pipe 20mm </t>
    </r>
    <r>
      <rPr>
        <sz val="14"/>
        <rFont val="Calibri"/>
        <family val="2"/>
      </rPr>
      <t>Φ</t>
    </r>
    <r>
      <rPr>
        <sz val="14"/>
        <rFont val="Calibri"/>
        <family val="2"/>
        <scheme val="minor"/>
      </rPr>
      <t xml:space="preserve"> x 3.0m with hub</t>
    </r>
  </si>
  <si>
    <t>Exhaust Fan Power Connection and Switch</t>
  </si>
  <si>
    <t>1/2" x 3m PVC Blue with hub</t>
  </si>
  <si>
    <t>Rough Carpentry (12 Working Stations)</t>
  </si>
  <si>
    <t>Laminated Flooring w/ foam (184 sq. m)</t>
  </si>
  <si>
    <t>Laminated Flooring w/ foam (64 sq. m)</t>
  </si>
  <si>
    <t>Interior Repainting (265 sq. m.)</t>
  </si>
  <si>
    <t>Drywall Painting (118 sq. m.)</t>
  </si>
  <si>
    <t>DIRECT COST</t>
  </si>
  <si>
    <t>WORKING STATION WORKS</t>
  </si>
  <si>
    <t>2.0 HP Air-Conditioner Remote Type</t>
  </si>
  <si>
    <t>Electric Wire #12 x 150m (5.5 sq.mm)</t>
  </si>
  <si>
    <r>
      <t xml:space="preserve">PVC E-Pipe 20mm </t>
    </r>
    <r>
      <rPr>
        <sz val="14"/>
        <color rgb="FFFF0000"/>
        <rFont val="Calibri"/>
        <family val="2"/>
      </rPr>
      <t>Φ</t>
    </r>
    <r>
      <rPr>
        <sz val="14"/>
        <color rgb="FFFF0000"/>
        <rFont val="Calibri"/>
        <family val="2"/>
        <scheme val="minor"/>
      </rPr>
      <t xml:space="preserve"> x 3.0m with hub</t>
    </r>
  </si>
  <si>
    <r>
      <t xml:space="preserve">PVC E-Coupling 20mm </t>
    </r>
    <r>
      <rPr>
        <sz val="14"/>
        <color rgb="FFFF0000"/>
        <rFont val="Calibri"/>
        <family val="2"/>
      </rPr>
      <t>Φ</t>
    </r>
    <r>
      <rPr>
        <sz val="14"/>
        <color rgb="FFFF0000"/>
        <rFont val="Calibri"/>
        <family val="2"/>
        <scheme val="minor"/>
      </rPr>
      <t xml:space="preserve"> </t>
    </r>
  </si>
  <si>
    <r>
      <t xml:space="preserve">PVC E-Long Elbow 20mm </t>
    </r>
    <r>
      <rPr>
        <sz val="14"/>
        <color rgb="FFFF0000"/>
        <rFont val="Calibri"/>
        <family val="2"/>
      </rPr>
      <t>Φ</t>
    </r>
    <r>
      <rPr>
        <sz val="14"/>
        <color rgb="FFFF0000"/>
        <rFont val="Calibri"/>
        <family val="2"/>
        <scheme val="minor"/>
      </rPr>
      <t xml:space="preserve"> </t>
    </r>
  </si>
  <si>
    <t>VP, Administration and Finance</t>
  </si>
  <si>
    <t>CONCRETE WORKS</t>
  </si>
  <si>
    <t>Footing</t>
  </si>
  <si>
    <t>REBAR WORKS</t>
  </si>
  <si>
    <t>kg</t>
  </si>
  <si>
    <t>cu.m.</t>
  </si>
  <si>
    <t>STRUCTURAL EXCAVATION</t>
  </si>
  <si>
    <t>C1F1</t>
  </si>
  <si>
    <t>C2F2</t>
  </si>
  <si>
    <t>F1</t>
  </si>
  <si>
    <t>F2</t>
  </si>
  <si>
    <t>C1</t>
  </si>
  <si>
    <t>C2</t>
  </si>
  <si>
    <t>GRAVEL BEDDING</t>
  </si>
  <si>
    <t>16mm</t>
  </si>
  <si>
    <t>Column</t>
  </si>
  <si>
    <t>10mm</t>
  </si>
  <si>
    <t>12mm</t>
  </si>
  <si>
    <t>no increased</t>
  </si>
  <si>
    <t>PAINTING</t>
  </si>
  <si>
    <t>Primeguard Primer</t>
  </si>
  <si>
    <t>45 L</t>
  </si>
  <si>
    <t>12 gal</t>
  </si>
  <si>
    <t>Semigloss Enamel</t>
  </si>
  <si>
    <t>72 L</t>
  </si>
  <si>
    <t>18 gal</t>
  </si>
  <si>
    <t>Thinner</t>
  </si>
  <si>
    <t>29 L</t>
  </si>
  <si>
    <t>8 gal</t>
  </si>
  <si>
    <t>Steelworks</t>
  </si>
  <si>
    <t>Concrete Pedestal</t>
  </si>
  <si>
    <t>225 sq.m.</t>
  </si>
  <si>
    <t>10 sq.m.</t>
  </si>
  <si>
    <t>MARK-UPS IN PERCENT</t>
  </si>
  <si>
    <t>ESTIMATED DIRECT COST</t>
  </si>
  <si>
    <t>OCM</t>
  </si>
  <si>
    <t>PROFIT</t>
  </si>
  <si>
    <t>%</t>
  </si>
  <si>
    <t>TOTAL MARK-UP</t>
  </si>
  <si>
    <t>VAT</t>
  </si>
  <si>
    <t>TOTAL INDIRECT COST</t>
  </si>
  <si>
    <t>TOTAL COST</t>
  </si>
  <si>
    <t>Value</t>
  </si>
  <si>
    <t>(6)+(7)</t>
  </si>
  <si>
    <t>(5) x (8)</t>
  </si>
  <si>
    <t>5% ( (5) + (9) )</t>
  </si>
  <si>
    <t>(9) + (10)</t>
  </si>
  <si>
    <t>(5) + (11)</t>
  </si>
  <si>
    <t>(12) / (3)</t>
  </si>
  <si>
    <t>SUB TOTAL</t>
  </si>
  <si>
    <t>AR. FERDINAND S. VALENCIA</t>
  </si>
  <si>
    <t>DR. GLENARD T. MADRIAGA</t>
  </si>
  <si>
    <t>LABOR</t>
  </si>
  <si>
    <t>Director , FDMO</t>
  </si>
  <si>
    <t>Civil &amp; Plumbing</t>
  </si>
  <si>
    <t>Consumables</t>
  </si>
  <si>
    <t>#16 GI Tie Wire</t>
  </si>
  <si>
    <t>Plumbing Fixtures</t>
  </si>
  <si>
    <t>pc</t>
  </si>
  <si>
    <t>Lighting Fixtures</t>
  </si>
  <si>
    <t>Lighting System</t>
  </si>
  <si>
    <t>Junction Box with Cover</t>
  </si>
  <si>
    <t>Deep Utility Box, PVC</t>
  </si>
  <si>
    <t>Electric Tape Big</t>
  </si>
  <si>
    <t>PVC Cement</t>
  </si>
  <si>
    <t>Wiring Devices</t>
  </si>
  <si>
    <t>Conduits</t>
  </si>
  <si>
    <t>Duplex Convenience Outlet</t>
  </si>
  <si>
    <t>2 Gang Switch Wide Series</t>
  </si>
  <si>
    <t>1 Gang Switch Wide Series</t>
  </si>
  <si>
    <t>Pullbox</t>
  </si>
  <si>
    <t>Floor mounted Duplex Convenience Outlet</t>
  </si>
  <si>
    <t>CAT6 UTP Cable</t>
  </si>
  <si>
    <t xml:space="preserve">Consumables </t>
  </si>
  <si>
    <t>Smoke Detector</t>
  </si>
  <si>
    <t>Fixtures</t>
  </si>
  <si>
    <t>Orbit Fan</t>
  </si>
  <si>
    <t>Power System</t>
  </si>
  <si>
    <t>Data System</t>
  </si>
  <si>
    <t>Draftsman</t>
  </si>
  <si>
    <t>AR. CHERRY L. FABIANES</t>
  </si>
  <si>
    <t>Architectural</t>
  </si>
  <si>
    <t>MR. JOHN ERWIN C. PANLILIO</t>
  </si>
  <si>
    <t>Chief Finance Officer</t>
  </si>
  <si>
    <t>9.2.1</t>
  </si>
  <si>
    <t>9.4.1</t>
  </si>
  <si>
    <t>9.2.2</t>
  </si>
  <si>
    <t>9.2.3</t>
  </si>
  <si>
    <t>9.3.1</t>
  </si>
  <si>
    <t>9.3.3</t>
  </si>
  <si>
    <t>9.3.4</t>
  </si>
  <si>
    <t>9.5.1</t>
  </si>
  <si>
    <t>9.6.1</t>
  </si>
  <si>
    <t>Water Closet Dual Flush, push button type w/ heavy duty stainless Bidet Faucet and complete accessories– 4/6 liters standard or equal water closet pan and cistern complete with heavy duty soft closing seat and cover (water saving)</t>
  </si>
  <si>
    <t>Mobilization &amp; Demobilization</t>
  </si>
  <si>
    <t>Construction Occupational Safety &amp; Health</t>
  </si>
  <si>
    <t>Temporary Facilities, Billboard and Barricade</t>
  </si>
  <si>
    <t>Mechanical Works</t>
  </si>
  <si>
    <t>Plumbing Works</t>
  </si>
  <si>
    <t>HDMI &amp; VGA Cable, 15m long</t>
  </si>
  <si>
    <t>HDMI &amp; VGA Outlet</t>
  </si>
  <si>
    <t>Fabrication and Installation of 18.75 mm thk x 0.20 m width x 4.80 m length x 0.90 m height Wainscot Marine Plywood with S4S Wood Edging and  complete accessories (w/ primer and lacquer paint finish at least 2 coats)</t>
  </si>
  <si>
    <t>9.4.2</t>
  </si>
  <si>
    <t>9.4.3</t>
  </si>
  <si>
    <t>Electrical Works</t>
  </si>
  <si>
    <t>9.6.1.1</t>
  </si>
  <si>
    <t>9.6.1.2</t>
  </si>
  <si>
    <t>9.6.1.3</t>
  </si>
  <si>
    <t>9.6.1.4</t>
  </si>
  <si>
    <t>(3)+(4)</t>
  </si>
  <si>
    <t>MATERIALS</t>
  </si>
  <si>
    <t>2</t>
  </si>
  <si>
    <t>3</t>
  </si>
  <si>
    <t>4</t>
  </si>
  <si>
    <t>General Requirements</t>
  </si>
  <si>
    <t>Masonry and Plastering Works</t>
  </si>
  <si>
    <t>Cement Plastering of Interior and Exterior: Walls, etc.</t>
  </si>
  <si>
    <t>Structural Works</t>
  </si>
  <si>
    <t>Concrete 3000 psi</t>
  </si>
  <si>
    <t>Reinforcement</t>
  </si>
  <si>
    <t>10 mm Φ-6 m DSB Grade 40</t>
  </si>
  <si>
    <t>Gravel Bedding G1</t>
  </si>
  <si>
    <t>Wall Footing, Slab on Fill and Steps</t>
  </si>
  <si>
    <t>Excavation</t>
  </si>
  <si>
    <t>Lintel Beam</t>
  </si>
  <si>
    <t>6" x 0.50 mm  Pre- Painted Metal Spandrel including framing, air ventilation and mouldings (Off-White)</t>
  </si>
  <si>
    <t>Repair of All Affected/Damaged Areas</t>
  </si>
  <si>
    <t>D8 - 0.60 m x 1.70 m x 18.75 mm thick Single Swing Marine Plywood with S4S Wood Edging Door and Steel Jamb with Vent Louvers, Stainless Steel Security Bolt Lock Plug Hardware, Stainless Steel Flush Mounted Heavy Duty Hinges and complete accessories</t>
  </si>
  <si>
    <t>8W LED Pinlight</t>
  </si>
  <si>
    <t>Consumable Hardwares</t>
  </si>
  <si>
    <r>
      <t>3.5mm</t>
    </r>
    <r>
      <rPr>
        <sz val="14"/>
        <color theme="1"/>
        <rFont val="Calibri"/>
        <family val="2"/>
      </rPr>
      <t xml:space="preserve">² Cu. THHN, UL listed </t>
    </r>
  </si>
  <si>
    <t xml:space="preserve">3 Gang Switch Wide Series </t>
  </si>
  <si>
    <t>1 Gang Switch Wide Series for projector</t>
  </si>
  <si>
    <r>
      <t>5.5mm</t>
    </r>
    <r>
      <rPr>
        <sz val="14"/>
        <color theme="1"/>
        <rFont val="Calibri"/>
        <family val="2"/>
      </rPr>
      <t xml:space="preserve">² Cu. THHN, UL listed </t>
    </r>
  </si>
  <si>
    <t>Emergency Lights including outlet</t>
  </si>
  <si>
    <t>ACU Outlet</t>
  </si>
  <si>
    <t>Panel Board &amp; Circuit Breakers</t>
  </si>
  <si>
    <t>Wires &amp; Cables</t>
  </si>
  <si>
    <t>Scaffolding &amp; Formworks</t>
  </si>
  <si>
    <t>Fabrication and Installation of 1.00 m width (door=0.60 m) x 1.80 m length x 1.95 m height x 12 mm thk  Compact Laminated Board Toilet Partition including hinges, lock indicator, bottom support, door knob, aluminum headrail and other accessories</t>
  </si>
  <si>
    <t>Fabrication and Installation of 0.40 m x 0.90 m  x 12 mm thk Compact Laminated Board Urinal Partition with complete accessories</t>
  </si>
  <si>
    <t>9.1.5</t>
  </si>
  <si>
    <t>9.2.1.1</t>
  </si>
  <si>
    <t>9.2.1.2</t>
  </si>
  <si>
    <t>9.2.1.3</t>
  </si>
  <si>
    <t>9.2.1.4</t>
  </si>
  <si>
    <t>9.2.1.5</t>
  </si>
  <si>
    <t>9.2.2.1</t>
  </si>
  <si>
    <t>9.2.2.2</t>
  </si>
  <si>
    <t>9.2.2.3</t>
  </si>
  <si>
    <t>9.2.3.1</t>
  </si>
  <si>
    <t>9.2.3.2</t>
  </si>
  <si>
    <t>9.2.3.3</t>
  </si>
  <si>
    <t>9.3.2</t>
  </si>
  <si>
    <t>9.3.1.1</t>
  </si>
  <si>
    <t>9.3.1.2</t>
  </si>
  <si>
    <t>9.3.1.3</t>
  </si>
  <si>
    <t>9.3.1.4</t>
  </si>
  <si>
    <t>9.3.2.1</t>
  </si>
  <si>
    <t>9.3.2.2</t>
  </si>
  <si>
    <t>9.3.2.3</t>
  </si>
  <si>
    <t>9.3.3.1</t>
  </si>
  <si>
    <t>9.3.3.2</t>
  </si>
  <si>
    <t>9.3.3.3</t>
  </si>
  <si>
    <t>9.3.3.4</t>
  </si>
  <si>
    <t>9.3.3.5</t>
  </si>
  <si>
    <t>9.3.3.6</t>
  </si>
  <si>
    <t>9.3.4.1</t>
  </si>
  <si>
    <t>9.4.1.1</t>
  </si>
  <si>
    <t>9.4.2.1</t>
  </si>
  <si>
    <t>9.4.2.2</t>
  </si>
  <si>
    <t>9.4.3.1</t>
  </si>
  <si>
    <t>9.5.2</t>
  </si>
  <si>
    <t>9.5.3</t>
  </si>
  <si>
    <t>9.5.2.1</t>
  </si>
  <si>
    <t>9.5.2.2</t>
  </si>
  <si>
    <t>9.5.3.1</t>
  </si>
  <si>
    <r>
      <t>15mm</t>
    </r>
    <r>
      <rPr>
        <sz val="14"/>
        <color theme="1"/>
        <rFont val="Calibri"/>
        <family val="2"/>
      </rPr>
      <t>Ø</t>
    </r>
    <r>
      <rPr>
        <sz val="14"/>
        <rFont val="Arial"/>
        <family val="2"/>
      </rPr>
      <t xml:space="preserve"> PVC</t>
    </r>
  </si>
  <si>
    <t>Heat Detector</t>
  </si>
  <si>
    <t>Fire Detection and Alarm System</t>
  </si>
  <si>
    <t>9.6.2</t>
  </si>
  <si>
    <t>9.6.2.1</t>
  </si>
  <si>
    <t>9.6.2.2</t>
  </si>
  <si>
    <t>9.6.2.3</t>
  </si>
  <si>
    <t>9.6.2.4</t>
  </si>
  <si>
    <t>9.6.2.5</t>
  </si>
  <si>
    <t>9.6.2.6</t>
  </si>
  <si>
    <t>9.6.3</t>
  </si>
  <si>
    <t>9.6.3.1</t>
  </si>
  <si>
    <t>AR. MAE GALE P. GARCIA</t>
  </si>
  <si>
    <t>ENGR. ENGILBERT S. MONTOYA</t>
  </si>
  <si>
    <t>Head, PMU</t>
  </si>
  <si>
    <t>2.40 m x 1.20 m x 6.25mm Graphicoat White Tempered Glass, 18.75mm thk. Marine Plywood with Aluminum Framed Anodize Finished</t>
  </si>
  <si>
    <t>18.75 mm thk Marine Plywood</t>
  </si>
  <si>
    <t>50 mm x 100 mm x 1.5 mm C-Purlins</t>
  </si>
  <si>
    <t>50 mm x 50 mm x 5.0 mm Angle Bar</t>
  </si>
  <si>
    <t>600 mm x 600 mm Non Skid Porcelain Floor Tiles including adhesive, grout and topping</t>
  </si>
  <si>
    <t>600 mm x 600 mm Porcelain Floor Tiles including adhesive, grout and topping</t>
  </si>
  <si>
    <t>150mm x 100mm Ø Wye PVC Pipe</t>
  </si>
  <si>
    <t>100mm x 100mm Ø Wye PVC Pipe</t>
  </si>
  <si>
    <t>100mm x 75mm Ø Wye PVC Pipe</t>
  </si>
  <si>
    <t>100mm x 50mm Ø Wye PVC Pipe</t>
  </si>
  <si>
    <t>75mm x 75mm Ø Wye PVC Pipe</t>
  </si>
  <si>
    <t>100mm Ø Elbow PVC Pipe</t>
  </si>
  <si>
    <t>75mm Ø Elbow PVC Pipe</t>
  </si>
  <si>
    <t>50mm Ø Elbow PVC Pipe</t>
  </si>
  <si>
    <t>100mm Ø  1/8 Bend PVC Elbow</t>
  </si>
  <si>
    <t>75mm Ø  1/8 Bend PVC Elbow</t>
  </si>
  <si>
    <t>50mm Ø  1/8 Bend PVC Elbow</t>
  </si>
  <si>
    <t>50mm Ø P-Trap</t>
  </si>
  <si>
    <t>32mm Ø  PPR Pipe PN20</t>
  </si>
  <si>
    <t>25mm Ø  PPR Pipe PN20</t>
  </si>
  <si>
    <t>Waste Pipes, Vent Pipes and Fittings</t>
  </si>
  <si>
    <t>Cold Water Supply System</t>
  </si>
  <si>
    <t>100mm x 100mm Stainless Floor Drain</t>
  </si>
  <si>
    <r>
      <t xml:space="preserve">150 mm </t>
    </r>
    <r>
      <rPr>
        <sz val="14"/>
        <color theme="1"/>
        <rFont val="Calibri"/>
        <family val="2"/>
      </rPr>
      <t>Ø</t>
    </r>
    <r>
      <rPr>
        <sz val="14"/>
        <color theme="1"/>
        <rFont val="Calibri Light"/>
        <family val="2"/>
      </rPr>
      <t xml:space="preserve"> S1000 PVC Pipe</t>
    </r>
  </si>
  <si>
    <r>
      <t xml:space="preserve">100 mm </t>
    </r>
    <r>
      <rPr>
        <sz val="14"/>
        <color theme="1"/>
        <rFont val="Calibri"/>
        <family val="2"/>
      </rPr>
      <t xml:space="preserve">Ø </t>
    </r>
    <r>
      <rPr>
        <sz val="14"/>
        <color theme="1"/>
        <rFont val="Calibri Light"/>
        <family val="2"/>
      </rPr>
      <t>S1000 PVC Pipe</t>
    </r>
  </si>
  <si>
    <r>
      <t xml:space="preserve">75 mm </t>
    </r>
    <r>
      <rPr>
        <sz val="14"/>
        <color theme="1"/>
        <rFont val="Calibri"/>
        <family val="2"/>
      </rPr>
      <t xml:space="preserve">Ø </t>
    </r>
    <r>
      <rPr>
        <sz val="14"/>
        <color theme="1"/>
        <rFont val="Calibri Light"/>
        <family val="2"/>
      </rPr>
      <t>S1000 PVC Pipe</t>
    </r>
  </si>
  <si>
    <r>
      <t xml:space="preserve">50 mm </t>
    </r>
    <r>
      <rPr>
        <sz val="14"/>
        <color theme="1"/>
        <rFont val="Calibri"/>
        <family val="2"/>
      </rPr>
      <t>Ø</t>
    </r>
    <r>
      <rPr>
        <sz val="14"/>
        <color theme="1"/>
        <rFont val="Calibri Light"/>
        <family val="2"/>
      </rPr>
      <t xml:space="preserve"> S1000 PVC Pipe</t>
    </r>
  </si>
  <si>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</si>
  <si>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</si>
  <si>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</si>
  <si>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</si>
  <si>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</si>
  <si>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</si>
  <si>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</si>
  <si>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</si>
  <si>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</si>
  <si>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</si>
  <si>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</si>
  <si>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</si>
  <si>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</si>
  <si>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</si>
  <si>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</si>
  <si>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</si>
  <si>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</si>
  <si>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</si>
  <si>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</si>
  <si>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</si>
  <si>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</si>
  <si>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11.2.1</t>
  </si>
  <si>
    <t>11.2.2</t>
  </si>
  <si>
    <t>11.2.3</t>
  </si>
  <si>
    <t>11.2.4</t>
  </si>
  <si>
    <t>11.3.1</t>
  </si>
  <si>
    <t>11.3.2</t>
  </si>
  <si>
    <t>11.3.3</t>
  </si>
  <si>
    <t>11.3.4</t>
  </si>
  <si>
    <t>11.3.5</t>
  </si>
  <si>
    <t>11.3.6</t>
  </si>
  <si>
    <t>11.3.7</t>
  </si>
  <si>
    <t>11.3.8</t>
  </si>
  <si>
    <t>Landscaping Works</t>
  </si>
  <si>
    <t>Plants</t>
  </si>
  <si>
    <t>4.0 mm thk. Aluminum Composite Panel with Framing</t>
  </si>
  <si>
    <t>Areca Palm (Dypsis Lutescens)</t>
  </si>
  <si>
    <t>Snake Plant (Sansevieria Trifasciata)</t>
  </si>
  <si>
    <t>Peace Lily (Spathiphyllum)</t>
  </si>
  <si>
    <t>Consumables (Soil, Fertilizer, etc.)</t>
  </si>
  <si>
    <t>Fabrication and Installation of 1.90 m x 2.40 m x 0.50 m, 39-Holes, Smooth Painted Pigeon Hole Cabinet (18.75 mm thk. Marine Plywood with S4S Wood Edging with primer and lacquer paint finish at least 2 coats)</t>
  </si>
  <si>
    <t>Fabrication of Fabric Covered Acoustic Panel</t>
  </si>
  <si>
    <t>50 mm Ø S304 Stainless Steel PWD Hand Railing with complete accessories</t>
  </si>
  <si>
    <t>11.3.9</t>
  </si>
  <si>
    <t>11.3.10</t>
  </si>
  <si>
    <t>11.3.11</t>
  </si>
  <si>
    <t>11.3.12</t>
  </si>
  <si>
    <t>3.2.1</t>
  </si>
  <si>
    <t>3.2.2</t>
  </si>
  <si>
    <t>3.2.3</t>
  </si>
  <si>
    <t>3.2.2.1</t>
  </si>
  <si>
    <t>3.2.2.2</t>
  </si>
  <si>
    <t>600 mm x 300 mm Porcelain Wall Tiles including adhesive, grout and topping</t>
  </si>
  <si>
    <t>Stainless Steel Logo &amp; Letter</t>
  </si>
  <si>
    <t>Fire Sprinkler System</t>
  </si>
  <si>
    <t>10.1.1</t>
  </si>
  <si>
    <r>
      <t xml:space="preserve">38 mm </t>
    </r>
    <r>
      <rPr>
        <sz val="14"/>
        <color theme="1"/>
        <rFont val="Calibri"/>
        <family val="2"/>
      </rPr>
      <t>Ø</t>
    </r>
    <r>
      <rPr>
        <sz val="14"/>
        <rFont val="Arial"/>
        <family val="2"/>
      </rPr>
      <t xml:space="preserve"> B.I. Pipe</t>
    </r>
  </si>
  <si>
    <r>
      <t xml:space="preserve">25mm </t>
    </r>
    <r>
      <rPr>
        <sz val="14"/>
        <color theme="1"/>
        <rFont val="Calibri"/>
        <family val="2"/>
      </rPr>
      <t>Ø</t>
    </r>
    <r>
      <rPr>
        <sz val="14"/>
        <rFont val="Arial"/>
        <family val="2"/>
      </rPr>
      <t xml:space="preserve"> B.I. Pipe</t>
    </r>
  </si>
  <si>
    <r>
      <t xml:space="preserve">25 mm </t>
    </r>
    <r>
      <rPr>
        <sz val="14"/>
        <color theme="1"/>
        <rFont val="Calibri"/>
        <family val="2"/>
      </rPr>
      <t>Ø</t>
    </r>
    <r>
      <rPr>
        <sz val="14"/>
        <rFont val="Arial"/>
        <family val="2"/>
      </rPr>
      <t xml:space="preserve"> B.I. Elbow</t>
    </r>
  </si>
  <si>
    <r>
      <t xml:space="preserve">38 mm </t>
    </r>
    <r>
      <rPr>
        <sz val="14"/>
        <color theme="1"/>
        <rFont val="Calibri"/>
        <family val="2"/>
      </rPr>
      <t>Ø</t>
    </r>
    <r>
      <rPr>
        <sz val="14"/>
        <rFont val="Arial"/>
        <family val="2"/>
      </rPr>
      <t xml:space="preserve"> B.I. Elbow</t>
    </r>
  </si>
  <si>
    <t>10.1.2</t>
  </si>
  <si>
    <t>10.1.3</t>
  </si>
  <si>
    <t>10.1.4</t>
  </si>
  <si>
    <r>
      <t xml:space="preserve">25 mm </t>
    </r>
    <r>
      <rPr>
        <sz val="14"/>
        <color theme="1"/>
        <rFont val="Calibri"/>
        <family val="2"/>
      </rPr>
      <t>Ø</t>
    </r>
    <r>
      <rPr>
        <sz val="14"/>
        <rFont val="Arial"/>
        <family val="2"/>
      </rPr>
      <t xml:space="preserve"> B.I. Tee</t>
    </r>
  </si>
  <si>
    <r>
      <t xml:space="preserve">25 mm </t>
    </r>
    <r>
      <rPr>
        <sz val="14"/>
        <color theme="1"/>
        <rFont val="Calibri"/>
        <family val="2"/>
      </rPr>
      <t xml:space="preserve">Ø x 32 mm Ø </t>
    </r>
    <r>
      <rPr>
        <sz val="14"/>
        <rFont val="Arial"/>
        <family val="2"/>
      </rPr>
      <t xml:space="preserve"> B.I. Tee</t>
    </r>
  </si>
  <si>
    <t>10.1.5</t>
  </si>
  <si>
    <t>10.1.6</t>
  </si>
  <si>
    <r>
      <t xml:space="preserve">25 mm </t>
    </r>
    <r>
      <rPr>
        <sz val="14"/>
        <color theme="1"/>
        <rFont val="Calibri"/>
        <family val="2"/>
      </rPr>
      <t xml:space="preserve">Ø x 12.5 mm Ø </t>
    </r>
    <r>
      <rPr>
        <sz val="14"/>
        <rFont val="Arial"/>
        <family val="2"/>
      </rPr>
      <t xml:space="preserve"> B.I. Bell Reducer</t>
    </r>
  </si>
  <si>
    <r>
      <t xml:space="preserve">25 mm </t>
    </r>
    <r>
      <rPr>
        <sz val="14"/>
        <color theme="1"/>
        <rFont val="Calibri"/>
        <family val="2"/>
      </rPr>
      <t xml:space="preserve">Ø x 32 mm Ø </t>
    </r>
    <r>
      <rPr>
        <sz val="14"/>
        <rFont val="Arial"/>
        <family val="2"/>
      </rPr>
      <t xml:space="preserve"> B.I. Coupling Reducer</t>
    </r>
  </si>
  <si>
    <r>
      <t xml:space="preserve">25 mm </t>
    </r>
    <r>
      <rPr>
        <sz val="14"/>
        <color theme="1"/>
        <rFont val="Calibri"/>
        <family val="2"/>
      </rPr>
      <t>Ø End Cap</t>
    </r>
  </si>
  <si>
    <t>10.1.7</t>
  </si>
  <si>
    <t>10.1.8</t>
  </si>
  <si>
    <t>10.1.9</t>
  </si>
  <si>
    <t>Slip on Flange with Gasket, Bolts and Nuts</t>
  </si>
  <si>
    <t>Sprinkler Head</t>
  </si>
  <si>
    <t>Supports (Brackets and Hangers)</t>
  </si>
  <si>
    <t>10.1.10</t>
  </si>
  <si>
    <t>10.1.11</t>
  </si>
  <si>
    <t>10.1.12</t>
  </si>
  <si>
    <t>10.1.13</t>
  </si>
  <si>
    <t>9.3.1.5</t>
  </si>
  <si>
    <t>6U Data Cabinet</t>
  </si>
  <si>
    <r>
      <t>MS. CHRISTINE DIANNE V. PE</t>
    </r>
    <r>
      <rPr>
        <b/>
        <sz val="16"/>
        <rFont val="Calibri"/>
        <family val="2"/>
      </rPr>
      <t>ÑA</t>
    </r>
  </si>
  <si>
    <t>Waterproofing for Comfort Rooms &amp; Slab Legdes (surface preparation, appplication of 3 coats of cementitious waterproofing)</t>
  </si>
  <si>
    <t>Floor &amp; Wall Finishes and Waterproofing Works</t>
  </si>
  <si>
    <t>Elevated Platform</t>
  </si>
  <si>
    <t>9.0 mm thk. Fiber Cement Board Ceiling on Metal Furring Framing System</t>
  </si>
  <si>
    <t>12.0 mm thk. Perforated Gypsum Board Ceiling on Metal Furring Framing System</t>
  </si>
  <si>
    <t>15.0 mm thk. Fine Fissured Acoustic Board Ceiling on Metal Furring Framing System</t>
  </si>
  <si>
    <t>9.0 mm thk. Fiber Cement Board for Dry Wall Tampering</t>
  </si>
  <si>
    <t>6.0 mm thk. Fiber Cement Board for Dry Wall Tampering</t>
  </si>
  <si>
    <t>D1-1.60 m x 2.10 m x 0.50 mm thick Double Panel Swing Type Steel Door and Jamb with 6.0 mm thk. Tempered Glass Peep Window with 12 mm Ø plain bars grills, Stainless Steel Dome Type Door Knob with Dead Bolt Lock, Heavy Duty Hinges and complete accessories (including painting and application of putty prior to application of primer and at least 2 top coats)</t>
  </si>
  <si>
    <t>D3-1.50 m x 2.10 m x 0.50 mm thick Double Panel Swing Type Steel Door and Jamb with 6.0 mm thk. Tempered Glass Peep Window with 12 mm Ø plain bars grills, Stainless Steel Dome Type Door Knob with Dead Bolt Lock, Heavy Duty Hinges and complete accessories (including painting and application of putty prior to application of primer and at least 2 top coats)</t>
  </si>
  <si>
    <t>D4-0.90 m x 2.10 m x 0.50 mm thick Double Panel Swing Type Steel Door and Jamb with 6.0 mm thk. Tempered Glass Peep Window with 12 mm Ø plain bars grills, Stainless Steel Dome Type Door Knob with Dead Bolt Lock, Heavy Duty Hinges and complete accessories (including painting and application of putty prior to application of primer and at least 2 top coats)</t>
  </si>
  <si>
    <t>D5 - 0.90 m x 2.10 m x 0.50 mm thick Single Swing Steel Door and Jamb, Stainless Steel Dome Type Door Knob with Dead Bolt, Heavy Duty Hinges and complete accessories (including painting and application of putty prior to application of primer and at least 2 top coats)</t>
  </si>
  <si>
    <t>D7 - 0.80 m x 2.10 m x 0.50 mm thick Single Swing Steel Door and Jamb with Vent Louvers, Stainless Steel Dome Type Door Knob with Dead Bolt, Heavy Duty Hinges and complete accessories (including painting and application of putty prior to application of primer and at least 2 top coats)</t>
  </si>
  <si>
    <t>D9 - 0.60 m x 2.10 m x 0.50 mm thick Single Swing Steel Door and Jamb with Vent Louvers, Stainless Steel Dome Type Door Knob with Dead Bolt, Heavy Duty Hinges and complete accessories (including painting and application of putty prior to application of primer and at least 2 top coats)</t>
  </si>
  <si>
    <t>150mm x 150mm Ø Wye PVC Pipe</t>
  </si>
  <si>
    <t>150mm x 75mm Ø Wye PVC Pipe</t>
  </si>
  <si>
    <t>150mm Ø 1/8 Bend PVC Elbow</t>
  </si>
  <si>
    <t>11.1.22</t>
  </si>
  <si>
    <t>90mm Ø  PPR Pipe PN20</t>
  </si>
  <si>
    <t>75mm Ø  PPR Pipe PN20</t>
  </si>
  <si>
    <t>50mm x 50mm Ø Tee PVC Pipe</t>
  </si>
  <si>
    <t>100mm x 50mm Ø Tee PVC Pipe</t>
  </si>
  <si>
    <t>150mm x 50mm Ø Tee PVC Pipe</t>
  </si>
  <si>
    <t>11.1.23</t>
  </si>
  <si>
    <t>11.1.24</t>
  </si>
  <si>
    <t>11.1.25</t>
  </si>
  <si>
    <t>50mm Ø  PPR Pipe PN20</t>
  </si>
  <si>
    <t>38mm Ø  PPR Pipe PN20</t>
  </si>
  <si>
    <t>11.2.5</t>
  </si>
  <si>
    <t>11.2.6</t>
  </si>
  <si>
    <t>11.2.7</t>
  </si>
  <si>
    <t>11.3.13</t>
  </si>
  <si>
    <t>50 mm x 150 mm x 1.5 mm C-Purlins</t>
  </si>
  <si>
    <t>Septic Tank</t>
  </si>
  <si>
    <t>Manholes</t>
  </si>
  <si>
    <t>Formworks</t>
  </si>
  <si>
    <t>Ceiling &amp; Cladding Works</t>
  </si>
  <si>
    <t>Furnishings</t>
  </si>
  <si>
    <t>5.9.1</t>
  </si>
  <si>
    <t>5.9.2</t>
  </si>
  <si>
    <t>5.9.3</t>
  </si>
  <si>
    <t>m³</t>
  </si>
  <si>
    <t>16 mm Φ-6 m DSB Grade 40</t>
  </si>
  <si>
    <t>90 mm Ø Heavy Duty Brass Body Gate Valve</t>
  </si>
  <si>
    <t>75 mm Ø Heavy Duty Brass Body Gate Valve</t>
  </si>
  <si>
    <t>11.2.8</t>
  </si>
  <si>
    <t>11.2.9</t>
  </si>
  <si>
    <t>11.4.1</t>
  </si>
  <si>
    <t>11.4.2</t>
  </si>
  <si>
    <t>11.4.3</t>
  </si>
  <si>
    <t>11.4.4</t>
  </si>
  <si>
    <t>11.4.5</t>
  </si>
  <si>
    <t>11.4.6</t>
  </si>
  <si>
    <t>11.4.7</t>
  </si>
  <si>
    <r>
      <t>8.0mm</t>
    </r>
    <r>
      <rPr>
        <sz val="14"/>
        <color theme="1"/>
        <rFont val="Calibri"/>
        <family val="2"/>
      </rPr>
      <t xml:space="preserve">² Cu. THHN, UL listed </t>
    </r>
  </si>
  <si>
    <t>12W LED Slim Downlight</t>
  </si>
  <si>
    <t>Ceiling mounted 1 Gang Universal Outlet</t>
  </si>
  <si>
    <t>Floor Mounted Data Outlet</t>
  </si>
  <si>
    <t>Data Cabinet Outlet</t>
  </si>
  <si>
    <t>9.3.2.4</t>
  </si>
  <si>
    <t>9.2.1.6</t>
  </si>
  <si>
    <t>14.1.1</t>
  </si>
  <si>
    <t>14.1.2</t>
  </si>
  <si>
    <t>14.1.3</t>
  </si>
  <si>
    <t>14.1.4</t>
  </si>
  <si>
    <t>3.1.1</t>
  </si>
  <si>
    <t>3.1.2</t>
  </si>
  <si>
    <t>3.1.3</t>
  </si>
  <si>
    <t>3.1.3.1</t>
  </si>
  <si>
    <t>3.1.3.2</t>
  </si>
  <si>
    <t>3.1.4</t>
  </si>
  <si>
    <t>3.1.5</t>
  </si>
  <si>
    <t>Compacted Back Fill</t>
  </si>
  <si>
    <t>3.1.6</t>
  </si>
  <si>
    <t>37.5 mm x 37.5 mm x3.5 mm Angle Bar</t>
  </si>
  <si>
    <t>D2 - 1.50 m x 2.10 m Sliding uPVC Door and Jamb with 6.0 mm thk Bronze Tempered Glass, door lock, and complete accessories</t>
  </si>
  <si>
    <t>D10 - 6.90 m x 2.10 m  Sliding and Fixed Glass Panel uPVC Door and Jamb with 6.0 mm thk Tempered Bronze Glass, door lock, and complete accessories</t>
  </si>
  <si>
    <t>D11 - 6.40 m x 2.10 m  Sliding and Fixed Glass Panel uPVC Door and Jamb with 6.0 mm thk Tempered Bronze Glass, door lock, and complete accessories</t>
  </si>
  <si>
    <t>D12 - 5.20 m x 2.10 m  Double Swing and Fixed Glass Panel uPVC Door and Jamb with 6.0 mm thk Tempered Bronze Glass, door lock, and complete accessories</t>
  </si>
  <si>
    <t>D13 - 3.00 m x 2.10 m  Sliding and Fixed Glass Panel uPVC Door and Jamb with 6.0 mm thk Tempered Bronze Glass, door lock, and complete accessories</t>
  </si>
  <si>
    <t>D14 - 3.10 m x 2.10 m  Sliding and Fixed Glass Panel uPVC Door and Jamb with 6.0 mm thk Tempered Bronze Glass, door lock, and complete accessories</t>
  </si>
  <si>
    <t>D15 - 3.50 m x 2.10 m  Double Swing and Fixed Glass Panel uPVC Door and Jamb with 6.0 mm thk Tempered Bronze Glass, door lock, and complete accessories</t>
  </si>
  <si>
    <t>D16 - 2.20 m x 2.10 m  Double Swing and Fixed Glass Panel uPVC Door and Jamb with 6.0 mm thk Tempered Bronze Glass, door lock, and complete accessories</t>
  </si>
  <si>
    <t>9.3.1.6</t>
  </si>
  <si>
    <t xml:space="preserve">0.50 m height Arial Bold Font Letter- Hairline Stainless Gauge #18, 2” build up sidings and stainless pin mounted with backlit (LED SMD module waterproof and LED Power supply). "COLLEGE OF TEACHER EDUCATION" </t>
  </si>
  <si>
    <t>55" Smart 4K UHD LED TV with bracket and complete accessories</t>
  </si>
  <si>
    <t>13.10.1</t>
  </si>
  <si>
    <t>13.10.2</t>
  </si>
  <si>
    <t>13.10.3</t>
  </si>
  <si>
    <t>3 0AT CB, 2 Pole (AVR)
In NEMA Type 3R Bolt-On, Circuit Breaker Enclosure Surface Type</t>
  </si>
  <si>
    <t>9.1.1</t>
  </si>
  <si>
    <t>9.1.2</t>
  </si>
  <si>
    <t>9.1.3</t>
  </si>
  <si>
    <t>9.1.4</t>
  </si>
  <si>
    <t>9.1.6</t>
  </si>
  <si>
    <t>D6-0.80 m x 2.10 m x 0.50 mm thick Single Panel Swing Type Flush Mahogany Wood  Door and Jamb, Stainless Steel Dome Type Door Knob with Dead Bolt Lock, Heavy Duty Hinges and complete accessories</t>
  </si>
  <si>
    <t>9.2.2.4</t>
  </si>
  <si>
    <t>30 AT CB Bolt On Type (4th Floor Office)</t>
  </si>
  <si>
    <t>9.4.2.3</t>
  </si>
  <si>
    <t>Air Conditioning System</t>
  </si>
  <si>
    <t>9.5.1.1</t>
  </si>
  <si>
    <t>9.5.1.2</t>
  </si>
  <si>
    <t>9.5.1.3</t>
  </si>
  <si>
    <t>9.5.1.4</t>
  </si>
  <si>
    <t>Structural Joining Works</t>
  </si>
  <si>
    <t>3.3.1</t>
  </si>
  <si>
    <t>3.3.2</t>
  </si>
  <si>
    <t>6" CHB  Wall (including mortar and  10 mm steel reinforcement every three CHB layer and 0.60 m horizontal spacing)</t>
  </si>
  <si>
    <t>0.20m x 1.20m x 5.0 mm thk. Vinyl Tiles including adhesive</t>
  </si>
  <si>
    <t>45 mm x 25 mm x 0.50 mm thk Aluminum Stair Nosing with Luminous Strip</t>
  </si>
  <si>
    <t>45 mm x 25 mm x 0.50 mm thk Aluminum Nosing with Luminous Strip</t>
  </si>
  <si>
    <t>Demolition, Hauling, Disposal and Repair Works</t>
  </si>
  <si>
    <t>11.3.14</t>
  </si>
  <si>
    <t>Over the Counter Lavatory with manual shutoff faucet bar handle type chrome finish and complete accessories (valve, p-trap, etc.)</t>
  </si>
  <si>
    <t>Long Pedestal Type Lavatory with manual shutoff faucet bar handle type chrome finish and complete accessories (valve, p-trap, etc.)</t>
  </si>
  <si>
    <t>16 mm Φ x 150 mm Dyna Bolt</t>
  </si>
  <si>
    <t>3.2.2.3</t>
  </si>
  <si>
    <t>12 mm Φ-6 m DSB Grade 40</t>
  </si>
  <si>
    <t>50 mm x 200 mm x1.2 mm G.I  C-Purlins</t>
  </si>
  <si>
    <t>Consumables (Hammer Drill Bit, Combihammer, Cartridge Holder, Despenser, Blow-out pump, Roud Steel Brush, etc.)</t>
  </si>
  <si>
    <t>0.45 m x 0.15 m x 3.0 mm thk Acryclic Clear Glass Lecture Room Signages including Proportioned Lettering with 2- 8 mm x 17 mm Fixing Bolt Screw</t>
  </si>
  <si>
    <t>13.11.1</t>
  </si>
  <si>
    <t>13.11.2</t>
  </si>
  <si>
    <t>13.11.3</t>
  </si>
  <si>
    <t>13.11.4</t>
  </si>
  <si>
    <t>13.11.5</t>
  </si>
  <si>
    <t>13.11.6</t>
  </si>
  <si>
    <t>Projector - 3 LCD RGB Liquid Crystal Shutter Projection System with bracket and complete accessories</t>
  </si>
  <si>
    <t>5.9.4</t>
  </si>
  <si>
    <t>5.9.5</t>
  </si>
  <si>
    <t>5.9.6</t>
  </si>
  <si>
    <t>5.9.7</t>
  </si>
  <si>
    <t>24U Data Cabinet</t>
  </si>
  <si>
    <t>12U Data Cabinet</t>
  </si>
  <si>
    <t>9.5.1.5</t>
  </si>
  <si>
    <t>3.3.3</t>
  </si>
  <si>
    <t>Hauling and Disposal of Debris and Scrap Materials from Affected Areas</t>
  </si>
  <si>
    <t xml:space="preserve">Rectangular HSS 6"x4"x0.25" A36 </t>
  </si>
  <si>
    <t xml:space="preserve">Rectangular HSS 3"x2x"0.188" A36 </t>
  </si>
  <si>
    <t>Sun Baffles Façade</t>
  </si>
  <si>
    <t>ACP Cladding Façade</t>
  </si>
  <si>
    <t>Fire Extinguisher 10lbs HFC-236 FA (Green) BFP Approved with bracket</t>
  </si>
  <si>
    <r>
      <t>40mm</t>
    </r>
    <r>
      <rPr>
        <sz val="14"/>
        <color theme="1"/>
        <rFont val="Calibri"/>
        <family val="2"/>
      </rPr>
      <t>Ø</t>
    </r>
    <r>
      <rPr>
        <sz val="14"/>
        <rFont val="Arial"/>
        <family val="2"/>
      </rPr>
      <t xml:space="preserve"> PVC Pipes</t>
    </r>
  </si>
  <si>
    <t>9.5.2.3</t>
  </si>
  <si>
    <t>Supply and Installation of Passenger Elevator and Accessories      Equipment Type: Machine-Room-Less                                                                 Designation: Passenger                                                                                           Capacity: 800 kg (10-11 persons)                                                                             Floor/Stops/Openings: 4/4/4                                                                                   Speed: 1.0 m/s (60 mpm)</t>
  </si>
  <si>
    <t>Elevator Pit Pump System                                                                                        1/2 HP Submersible Cap. 20 GPM, 20 ft TDH w/ Controller and Liquid Level Switch                                                                                                       50 mm dia. Drainage pipe, fittings and valves</t>
  </si>
  <si>
    <t>Painting Works</t>
  </si>
  <si>
    <t>Ceiling</t>
  </si>
  <si>
    <t>Windows</t>
  </si>
  <si>
    <t>Drywall</t>
  </si>
  <si>
    <t>Toilet Partition</t>
  </si>
  <si>
    <t>Doors, Windows, Drywall and Partitions</t>
  </si>
  <si>
    <t>Doors &amp; Glass Partitions</t>
  </si>
  <si>
    <t>6.1.1</t>
  </si>
  <si>
    <t>6.1.2</t>
  </si>
  <si>
    <t>6.1.3</t>
  </si>
  <si>
    <t>6.1.4</t>
  </si>
  <si>
    <t>6.2.1</t>
  </si>
  <si>
    <t>6.2.2</t>
  </si>
  <si>
    <t>6.2.3</t>
  </si>
  <si>
    <t>6.2.4</t>
  </si>
  <si>
    <t>6.2.5</t>
  </si>
  <si>
    <t>6.3.1</t>
  </si>
  <si>
    <t>6.3.2</t>
  </si>
  <si>
    <t>6.3.3</t>
  </si>
  <si>
    <t>6.3.4</t>
  </si>
  <si>
    <t>6.3.5</t>
  </si>
  <si>
    <t>6.3.6</t>
  </si>
  <si>
    <t>8.1.1</t>
  </si>
  <si>
    <t>8.1.2</t>
  </si>
  <si>
    <t>8.1.3</t>
  </si>
  <si>
    <t>8.1.4</t>
  </si>
  <si>
    <t>8.1.5</t>
  </si>
  <si>
    <t>8.1.6</t>
  </si>
  <si>
    <t>8.1.7</t>
  </si>
  <si>
    <t>8.1.8</t>
  </si>
  <si>
    <t>8.1.9</t>
  </si>
  <si>
    <t>8.1.10</t>
  </si>
  <si>
    <t>8.1.11</t>
  </si>
  <si>
    <t>8.1.12</t>
  </si>
  <si>
    <t>8.1.13</t>
  </si>
  <si>
    <t>8.1.14</t>
  </si>
  <si>
    <t>8.1.15</t>
  </si>
  <si>
    <t>8.1.16</t>
  </si>
  <si>
    <t>8.2.1</t>
  </si>
  <si>
    <t>8.2.2</t>
  </si>
  <si>
    <t>8.2.3</t>
  </si>
  <si>
    <t>8.2.4</t>
  </si>
  <si>
    <t>8.2.5</t>
  </si>
  <si>
    <t>8.2.6</t>
  </si>
  <si>
    <t>8.2.7</t>
  </si>
  <si>
    <t>8.2.8</t>
  </si>
  <si>
    <t>8.2.9</t>
  </si>
  <si>
    <t>8.2.10</t>
  </si>
  <si>
    <t>8.2.11</t>
  </si>
  <si>
    <t>8.2.12</t>
  </si>
  <si>
    <t>8.2.13</t>
  </si>
  <si>
    <t>8.2.14</t>
  </si>
  <si>
    <t>8.2.15</t>
  </si>
  <si>
    <t>8.2.16</t>
  </si>
  <si>
    <t>8.2.17</t>
  </si>
  <si>
    <t>8.2.18</t>
  </si>
  <si>
    <t>8.2.19</t>
  </si>
  <si>
    <t>8.2.20</t>
  </si>
  <si>
    <t>8.3.1</t>
  </si>
  <si>
    <t>8.3.2</t>
  </si>
  <si>
    <t>8.3.3</t>
  </si>
  <si>
    <t>8.4.1</t>
  </si>
  <si>
    <t>8.4.2</t>
  </si>
  <si>
    <t>Semi-Gloss Latex Paint Finish Exterior Wall, Beams, Columns, Ledges, etc. (apply skimcoat prior to application of primer and at least 2 top coats)</t>
  </si>
  <si>
    <t>Semi-Gloss Latex Paint Finish Interior Wall, Slab Soffit, Beams, Columns, etc. (apply of skimcoat prior to application of primer and at least 2 top coats)</t>
  </si>
  <si>
    <t xml:space="preserve"> Flat Latex Paint Finish Ceiling and Dry Wall (application of skimcoat prior to apply of primer and at least 2 top coats)</t>
  </si>
  <si>
    <t>Over the Counter 0.90 m x 0.50 m x 0.2m S304 Stainless Kitchen Sink with manual shutoff faucet bar handle type chrome finish and complete accessories (valve, p-trap, etc.)</t>
  </si>
  <si>
    <t>Wall Hung Urinal- L 480 mm x W 335 mm x H 745 mm top inlet urinal water saving w/ button type flush valve 0.8Gpf manual automatic shutoff and complete accessories (valve, etc.)</t>
  </si>
  <si>
    <t>1.00 m x 0.60 m x 6.0 mm Beveled Edge Lead Free Mirror with 6mm ∅ S304 Stainless Mirror Holder for Women Comfort Rooms</t>
  </si>
  <si>
    <t>Consumable (Painty Safety Red/Primer, Welding Rod, etc.)</t>
  </si>
  <si>
    <t>100mm Ø Brass Cleanout with Cover</t>
  </si>
  <si>
    <t>75mm Ø Brass Cleanout with Cover</t>
  </si>
  <si>
    <t>9.0 m length x 0.60 m width Solid Granite Countertop including porcelain tiles at 0.20 m perimeter sidings</t>
  </si>
  <si>
    <t>1.70 m length x 0.60 m width Solid Granite Countertop including  porcelain tiles at 0.20 m perimeter sidings</t>
  </si>
  <si>
    <t>2.30 m length x 0.60 m width Solid Granite Countertop including  porcelain tiles at 0.20 m perimeter sidings</t>
  </si>
  <si>
    <t>0.60 m length x 0.60 m width Solid Granite Countertop including  porcelain tiles at 0.20 m perimeter sidings, structural &amp; masonry works</t>
  </si>
  <si>
    <t>3.20 m length x 0.60 m width Solid Granite Countertop including  porcelain tiles at 0.20 m perimeter sidings, structural &amp; masonry works</t>
  </si>
  <si>
    <t>1.70 m length x 0.60 m width Solid Granite Countertop including  porcelain tiles at 0.20 m perimeter sidings, structural &amp; masonry works</t>
  </si>
  <si>
    <t>Painting of Sun Baffles Façade including base plate, angle bar, rectangular beam (apply steel putty prior to application of primer and at least 2 top coats)</t>
  </si>
  <si>
    <t>W1- 1.20 m x 1.20 m x 6.0 mm thk. Bronze Tempered Glass with uPVC Casement Fixed Window and complete accessories</t>
  </si>
  <si>
    <t>W2- 3.00 m x 1.80 m x 6.0 mm thk. Reflective Bronze Glass with uPVC Casement Awning Window and complete accessories</t>
  </si>
  <si>
    <t>W3- 5.00 m x 1.80 m x 6.0 mm thk. Reflective Bronze Glass with uPVC Casement Awning Window and complete accessories</t>
  </si>
  <si>
    <t>W4- 3.00 m x 0.60 m x 6.0 mm thk. Reflective Bronze Glass with uPVC Casement Awning Window and complete accessories</t>
  </si>
  <si>
    <t>W5- 2.00 m x 1.80 m x 6.0 mm thk. Reflective Bronze Glass with uPVC Casement Awning Window and complete accessories</t>
  </si>
  <si>
    <t>W6- 2.00 m x 0.60 m x 6.0 mm thk. Reflective Bronze Glass with uPVC Casement Awning Window and complete accessories</t>
  </si>
  <si>
    <t>W7- 0.90 m x 0.60 m x 6.0 mm thk. Reflective Bronze Glass with uPVC Casement Awning Window and complete accessories</t>
  </si>
  <si>
    <t>W8- 3.60 m x 1.20 m x 6.0 mm thk. Clear Tempered Glass uPVC Casement Fixed Window and complete accessories</t>
  </si>
  <si>
    <t>W9- 1.80 m x 1.20 m x 6.0 mm thk. Clear Tempered Glass uPVC Casement Fixed Window and complete accessories</t>
  </si>
  <si>
    <t>W10- 4.80 m x 1.80 m x 6.0 mm thk. Clear Tempered Glass uPVC Casement Fixed Window and complete accessories</t>
  </si>
  <si>
    <t>W11- 1.00 m x 1.80 m x 6.0 mm thk. Reflective Bronze Glass with uPVC Casement Awning Window and complete accessories</t>
  </si>
  <si>
    <t>W12- 1.20 m x 1.20 m x 6.0 mm thk. Clear Tempered Glass uPVC Casement Sliding Windows and complete accessories</t>
  </si>
  <si>
    <t>W14- 5.00 m x 1.80 m x 6.0 mm thk. Reflective Bronze Glass with uPVC Casement Awning Window and complete accessories</t>
  </si>
  <si>
    <t>W15- 3.00 m x 1.80 m x 6.0 mm thk. Reflective Bronze Glass with uPVC Casement Awning Window and complete accessories</t>
  </si>
  <si>
    <t>W17- 1.50 m x 1.20 m x 6.0 mm thk. Reflective Bronze Glass with uPVC Casement Awning Window and complete accessories</t>
  </si>
  <si>
    <t>W18- 2.40 m x 0.60 m x 6.0 mm thk. Reflective Bronze Glass with uPVC Casement Awning Window and complete accessories</t>
  </si>
  <si>
    <t>W19- 2.40 m x 0.40 m x 6.0 mm thk. Reflective Bronze Glass with uPVC Casement Awning Window and complete accessories</t>
  </si>
  <si>
    <t>W20- 1.80 m x 0.30 m x 6.0 mm thk. Reflective Bronze Glass with uPVC Casement Awning Window and complete accessories</t>
  </si>
  <si>
    <t>W16- 3.00 m x 1.80 m  x 6.0 mm thk. Reflective Bronze Glass with uPVC Casement Awning Window and 1.50 m arc radius x 6.0 mm thk. Reflective Bronze Glass uPVC Casement Fixed Window and complete accessories</t>
  </si>
  <si>
    <t>W13- 3.00 m x 1.80 m  x 6.0 mm thk. Reflective Bronze Glass with uPVC Casement Awning Window and 1.50 m arc radius x 6.0 mm thk. Reflective Bronze Glass uPVC Casement Fixed Window and complete accessories</t>
  </si>
  <si>
    <t>1 Gang Universal Outlet</t>
  </si>
  <si>
    <t>9.3.1.7</t>
  </si>
  <si>
    <t>18W LED Flourescent Light</t>
  </si>
  <si>
    <t>FACP (10 zones)</t>
  </si>
  <si>
    <t>Consumable Hardwares (fittings, etc.)</t>
  </si>
  <si>
    <t>Installation of 40 sets of Window Type Aircon Unit (to be provided by TSU) with Provisions of 40 sets of brackets with complete accessories</t>
  </si>
  <si>
    <t>2.5 HP Inverter Split Type Aircon Unit w/ Outdoor Unit Stand, bracket, connecting pipes, drain pipes, complete accessories, etc. (for Dean's Office)</t>
  </si>
  <si>
    <t>2.5 HP Inverter Split Type Aircon Unit w/ Outdoor Unit Stand, bracket, connecting pipes, drain pipes, complete accessories, etc. (for other Offices and Rooms)</t>
  </si>
  <si>
    <t>2.0 HP Inverter Split Type Aircon Unit  w/ Outdoor Unit Stand, bracket, connecting pipes, drain pipes, complete accessories, etc.</t>
  </si>
  <si>
    <t>2.0 HP Inverter Window Type Aircon Unit w/ bracket, drain pipes, fittings and complete accessories</t>
  </si>
  <si>
    <t>1.0 HP Inverter Window Type Aircon Unit  w/ bracket, drain pipes, fittings and complete accessories</t>
  </si>
  <si>
    <r>
      <t xml:space="preserve">1.50 m </t>
    </r>
    <r>
      <rPr>
        <sz val="14"/>
        <rFont val="Calibri"/>
        <family val="2"/>
      </rPr>
      <t xml:space="preserve">Ø Stainless Steel with </t>
    </r>
    <r>
      <rPr>
        <sz val="14"/>
        <rFont val="Calibri Light"/>
        <family val="2"/>
      </rPr>
      <t xml:space="preserve">TSU Logo </t>
    </r>
  </si>
  <si>
    <r>
      <t xml:space="preserve">1.50 m </t>
    </r>
    <r>
      <rPr>
        <sz val="14"/>
        <rFont val="Calibri"/>
        <family val="2"/>
      </rPr>
      <t xml:space="preserve">Ø Stainless Steel with </t>
    </r>
    <r>
      <rPr>
        <sz val="14"/>
        <rFont val="Calibri Light"/>
        <family val="2"/>
      </rPr>
      <t>CTE Logo</t>
    </r>
  </si>
  <si>
    <t>Projector Screen (1.80 m x 2.40 m Manual Pull Down) and complete accessories</t>
  </si>
  <si>
    <t>4.0 m x 3.0 m LED Video Wall P10  (High Resolution Waterproof Outdoor with complete accessories - fixed installation)</t>
  </si>
  <si>
    <t>12" Ø  Alarm Bell with Manual Pull Station</t>
  </si>
  <si>
    <t>1.60mm² TF Wires</t>
  </si>
  <si>
    <t>9.6.3.2</t>
  </si>
  <si>
    <t>Non-shrink Grout  5000 psi</t>
  </si>
  <si>
    <t>100 mm x 100 mm x 3.0 mm MS Steel Plate</t>
  </si>
  <si>
    <t>Auxilliary System</t>
  </si>
  <si>
    <r>
      <t xml:space="preserve">Drilling and Installation of 20 mm </t>
    </r>
    <r>
      <rPr>
        <sz val="14"/>
        <rFont val="Calibri"/>
        <family val="2"/>
      </rPr>
      <t xml:space="preserve">Ø Anchored Rebar with 16 mm Ø Lathe &amp; Knot for Support A &amp; Strut Connection including Injectable Adhesive </t>
    </r>
  </si>
  <si>
    <t>150 mm x 250 mm x 16 mm thk MS Steel Plate</t>
  </si>
  <si>
    <t>250 mm x 300 mm x 16 mm thk MS Steel Plate</t>
  </si>
  <si>
    <r>
      <t xml:space="preserve">Drilling and Installation of 16 mm </t>
    </r>
    <r>
      <rPr>
        <sz val="14"/>
        <rFont val="Calibri"/>
        <family val="2"/>
      </rPr>
      <t>Ø HAS-U 5.8 M16 Full Threaded Bolt for Support B including Injectable Adhesive</t>
    </r>
  </si>
  <si>
    <t>3.3.4</t>
  </si>
  <si>
    <t>Demoliton/Removal of Existing Structure (CHB walls, slab on fill, partition walls, air conditioning system, septic tank including siphoning, ground floor comfort room slab, parking slab, laboratory concrete tables, plumbing pipes and fixtures electrical wires, pipes and fixtures, tiles &amp; floor finishes, stair nosing, ceiling boards &amp; wooden sprandrel, door &amp; jamb, window casement, scraping of old paint and all other affected areas, etc.)</t>
  </si>
  <si>
    <t>Painting of Plantbox and Exterior Assimilated Brick Wall  (apply skimcoat prior to application of primer and at least 2 top coats)</t>
  </si>
  <si>
    <t>Painting of Stair Railings, Grills and Corridor Fence (application of primer and at least 2 coats of paint of all steel casement window, i.e. front and rear of the building, both interior and exterior)</t>
  </si>
  <si>
    <t>Painting of ACP Steel Framing System including base plate, angle bar, rectangular beam (at least 2 coats application of primer)</t>
  </si>
  <si>
    <t>Repainting of Existing Roof, Flashing &amp; Ridge Roll, C-Purlins Cover, Existing Interior Sun Baffles Framing, Cyclone, G.I. Pipe, etc. (application of skimcoat prior to application of primer and at least 2 coats)</t>
  </si>
  <si>
    <t>9.0 mm thk. Fiber Cement Board for Dry Wall on Metal Studs Framing System (Double Wall)</t>
  </si>
  <si>
    <t>1-18W T8 LED Tube Light with Louver Housing Recessed</t>
  </si>
  <si>
    <t>Reinstallation of Lighting Fixtures</t>
  </si>
  <si>
    <t>Reinstallation of Glass Board, LED TV, Speaker, CCTV and other affected areas</t>
  </si>
  <si>
    <t>9.3.1.8</t>
  </si>
  <si>
    <t>11.4.4.1</t>
  </si>
  <si>
    <t>11.4.4.2</t>
  </si>
  <si>
    <t>11.4.4.3</t>
  </si>
  <si>
    <t>Reinstallation of Orbit Fan</t>
  </si>
  <si>
    <t>Panel Box Flush Mounted Type (Faculty Room)                                                                                        PB 2P, 1- 50AT 2P MAIN CB, 3-20AT 2P CB</t>
  </si>
  <si>
    <t>Panel Box Flush Mounted Type (Garment Lab)                                                                                     PB 2P, 1- 50AT 2P MAIN CB, 3-20AT 2P CB</t>
  </si>
  <si>
    <t>Panel Box Flush Mounted Type (Computer Lab)                                                                                            PB 2P, 1- 50AT 2P MAIN CB, 3-20AT 2P CB</t>
  </si>
  <si>
    <t>20 AT CB Bolt On Type (Ground Floor)</t>
  </si>
  <si>
    <t>AR. KING JHON PAUL R. TALON</t>
  </si>
  <si>
    <t>Architect</t>
  </si>
  <si>
    <t>FIFTY NINE MILLION  NINE HUNDRED NINETY FOUR THOUSAND TWO HUNDRED FORTY FIVE PESOS AND TWO CENTAVOS</t>
  </si>
  <si>
    <t>Consumable Hardware (elbow, tee, reducer, cap, coupling, other fittings, etc.)</t>
  </si>
  <si>
    <t>ENGR. JESSIE H. DOMINGO</t>
  </si>
  <si>
    <t>Mechanical</t>
  </si>
  <si>
    <t>9.1.7</t>
  </si>
  <si>
    <t>m²</t>
  </si>
  <si>
    <t>CBA</t>
  </si>
  <si>
    <t>Masonry</t>
  </si>
  <si>
    <t>Plastering</t>
  </si>
  <si>
    <t>Wall</t>
  </si>
  <si>
    <t>Fine Fissured</t>
  </si>
  <si>
    <t>Gypsum</t>
  </si>
  <si>
    <t>Floor</t>
  </si>
  <si>
    <t>Vinyl Tiles</t>
  </si>
  <si>
    <t>Construction Occupational Safety &amp; Health (New Normal)</t>
  </si>
  <si>
    <t>Exterior</t>
  </si>
  <si>
    <t>Interior</t>
  </si>
  <si>
    <t>COS</t>
  </si>
  <si>
    <t>CASS</t>
  </si>
  <si>
    <t>Dry Wall</t>
  </si>
  <si>
    <t>COE</t>
  </si>
  <si>
    <t>CT</t>
  </si>
  <si>
    <t>NEW</t>
  </si>
  <si>
    <t>ACAD</t>
  </si>
  <si>
    <t>Ceramic Floor Tiles</t>
  </si>
  <si>
    <t>LAB</t>
  </si>
  <si>
    <t>LEC</t>
  </si>
  <si>
    <t>Solid Granite</t>
  </si>
  <si>
    <t>Ceramic Wall Tiles</t>
  </si>
  <si>
    <t>E</t>
  </si>
  <si>
    <t>B</t>
  </si>
  <si>
    <t>G</t>
  </si>
  <si>
    <t>Wainscoat</t>
  </si>
  <si>
    <t>Moulding</t>
  </si>
  <si>
    <t>2-18W T8 LED Tube Light with Louver Housing Recessed</t>
  </si>
  <si>
    <t>Column Footing</t>
  </si>
  <si>
    <t>Wall Footing</t>
  </si>
  <si>
    <t>Grade Beam</t>
  </si>
  <si>
    <t>10 mm Φ-6 m  DSB Grade 40</t>
  </si>
  <si>
    <t>Slab on Grade and Ramp</t>
  </si>
  <si>
    <t>Roof Beam</t>
  </si>
  <si>
    <t>12 mm Φ x 6 m DSB Grade 40</t>
  </si>
  <si>
    <t>10 mm Φ x 6 m DSB Grade 40</t>
  </si>
  <si>
    <t xml:space="preserve">100 mm x 100 mm Wye PVC </t>
  </si>
  <si>
    <t>100 mm 1/8 Bend PVC</t>
  </si>
  <si>
    <t>100 mm Elbow PVC</t>
  </si>
  <si>
    <t>50 mm Elbow PVC</t>
  </si>
  <si>
    <t>Consumable Hardware and Assorted Fittings (elbow, tee, reducer, cap, coupling, etc.)</t>
  </si>
  <si>
    <t>18.75 mm Ø Brass Body Hosebibb with Thread</t>
  </si>
  <si>
    <t>Consumable Hardwares and Accessories</t>
  </si>
  <si>
    <t>Soil  Backfill with Compaction</t>
  </si>
  <si>
    <t>3.2.3.1</t>
  </si>
  <si>
    <t>3.2.3.2</t>
  </si>
  <si>
    <t>3.2.3.3</t>
  </si>
  <si>
    <t>3.2.4</t>
  </si>
  <si>
    <t>3.2.5</t>
  </si>
  <si>
    <t>3.2.6</t>
  </si>
  <si>
    <t>3.5.1</t>
  </si>
  <si>
    <t>3.5.2</t>
  </si>
  <si>
    <t>3.5.2.1</t>
  </si>
  <si>
    <t>3.5.2.2</t>
  </si>
  <si>
    <t>3.5.2.3</t>
  </si>
  <si>
    <t>3.5.3</t>
  </si>
  <si>
    <t>3.6.1</t>
  </si>
  <si>
    <t>3.6.2</t>
  </si>
  <si>
    <t>3.6.2.1</t>
  </si>
  <si>
    <t>3.6.2.2</t>
  </si>
  <si>
    <t>3.6.2.3</t>
  </si>
  <si>
    <t>3.6.3</t>
  </si>
  <si>
    <t>Soil  Embankment with Compaction</t>
  </si>
  <si>
    <t>3.4.1</t>
  </si>
  <si>
    <t>3.4.2</t>
  </si>
  <si>
    <t>3.4.2.1</t>
  </si>
  <si>
    <t>3.4.2.2</t>
  </si>
  <si>
    <t>3.4.3</t>
  </si>
  <si>
    <t>3.4.4</t>
  </si>
  <si>
    <t>3.4.5</t>
  </si>
  <si>
    <t>Stiffener, Ledge,Lintel</t>
  </si>
  <si>
    <t>3.7.1</t>
  </si>
  <si>
    <t>3.7.2</t>
  </si>
  <si>
    <t>3.7.2.1</t>
  </si>
  <si>
    <t>3.7.2.2</t>
  </si>
  <si>
    <t>3.7.2.3</t>
  </si>
  <si>
    <t>3.7.3</t>
  </si>
  <si>
    <t>50 mm 1/8 Bend PVC</t>
  </si>
  <si>
    <t>50 mm P-trap</t>
  </si>
  <si>
    <t>32 mm Ø Heavy Duty Brass Body Gate Valve</t>
  </si>
  <si>
    <t>3.3.5</t>
  </si>
  <si>
    <t>3.3.6</t>
  </si>
  <si>
    <t>Lintel Beam, Stiffener Column, Ledges and Zocalo</t>
  </si>
  <si>
    <t>6" x 6" Stainless Floor Drain</t>
  </si>
  <si>
    <t xml:space="preserve"> Flat Latex Paint Finish on Ceiling (surface preparation, primer and at least 2 top coats)</t>
  </si>
  <si>
    <t>ledges</t>
  </si>
  <si>
    <t>Stiff</t>
  </si>
  <si>
    <t>lintel beam</t>
  </si>
  <si>
    <t>zocalo</t>
  </si>
  <si>
    <t>chb wall</t>
  </si>
  <si>
    <t>opening</t>
  </si>
  <si>
    <t>Civil Engineer</t>
  </si>
  <si>
    <t>Electrical Engineer</t>
  </si>
  <si>
    <t>Water Closet Dual Flush, push button type w/ heavy duty s304 stainless Bidet Faucet and complete accessories– 4/6 liters standard or equal water closet pan and cistern complete with heavy duty soft closing seat and cover (water saving)</t>
  </si>
  <si>
    <t>Hauling and Disposal of Debris and Scrap Materials from affected areas</t>
  </si>
  <si>
    <t>Grout</t>
  </si>
  <si>
    <t>Adhesive</t>
  </si>
  <si>
    <t xml:space="preserve">100 mm x 50 mm Wye PVC </t>
  </si>
  <si>
    <t>Heavy Duty Stainless S304 Tissue Holder</t>
  </si>
  <si>
    <t xml:space="preserve">CONCRETE TOPPING </t>
  </si>
  <si>
    <t>1 IS TO 6</t>
  </si>
  <si>
    <t>AT 75MM TOPPING</t>
  </si>
  <si>
    <t>VOL</t>
  </si>
  <si>
    <t>606MM X 600MM TILE</t>
  </si>
  <si>
    <t>cum</t>
  </si>
  <si>
    <t>cement</t>
  </si>
  <si>
    <t>sand</t>
  </si>
  <si>
    <t>cu m</t>
  </si>
  <si>
    <t>total</t>
  </si>
  <si>
    <t>1 cum = 1000 kg</t>
  </si>
  <si>
    <t>50 kg = 1 bag of cement</t>
  </si>
  <si>
    <t>total kg</t>
  </si>
  <si>
    <t>total bag</t>
  </si>
  <si>
    <t>bag</t>
  </si>
  <si>
    <t>FOR CEMENT</t>
  </si>
  <si>
    <t>FOR SAND</t>
  </si>
  <si>
    <t>total vol</t>
  </si>
  <si>
    <t>price</t>
  </si>
  <si>
    <t>labor</t>
  </si>
  <si>
    <t>tota price</t>
  </si>
  <si>
    <t>Tiles 60cm x 60cm</t>
  </si>
  <si>
    <t>qty</t>
  </si>
  <si>
    <t>total cost per tile</t>
  </si>
  <si>
    <t>Labor</t>
  </si>
  <si>
    <t>total cost per area</t>
  </si>
  <si>
    <t>AT VESTIBULE</t>
  </si>
  <si>
    <t>Column 1</t>
  </si>
  <si>
    <t>Column 2</t>
  </si>
  <si>
    <t>AT MIDDLE</t>
  </si>
  <si>
    <t>AT REAR</t>
  </si>
  <si>
    <t>LENGTH</t>
  </si>
  <si>
    <t>GRADE &amp; TIE BEAM</t>
  </si>
  <si>
    <t>TIE WIRE: 3.21 KGS</t>
  </si>
  <si>
    <t>1.55 KGS</t>
  </si>
  <si>
    <t>0.83 KGS</t>
  </si>
  <si>
    <t>0.95 KGS</t>
  </si>
  <si>
    <t>1.27 KGS</t>
  </si>
  <si>
    <t>0.75 KGS</t>
  </si>
  <si>
    <t>1.43 KGS</t>
  </si>
  <si>
    <t>6.10 KGS</t>
  </si>
  <si>
    <t>2.86 KGS</t>
  </si>
  <si>
    <t>1.51 KGS</t>
  </si>
  <si>
    <t>TRUSS 1</t>
  </si>
  <si>
    <t>Main Chords</t>
  </si>
  <si>
    <t>Web Chords (RED)</t>
  </si>
  <si>
    <t>Web Chords (Black)</t>
  </si>
  <si>
    <t>Diagonal Web Chords (RED)</t>
  </si>
  <si>
    <t>Gutter</t>
  </si>
  <si>
    <t>length</t>
  </si>
  <si>
    <t>width</t>
  </si>
  <si>
    <t>2x3 Tubular</t>
  </si>
  <si>
    <t>Plain sheet</t>
  </si>
  <si>
    <t>Roofing</t>
  </si>
  <si>
    <t>C-Purlins</t>
  </si>
  <si>
    <t>Rib type long span</t>
  </si>
  <si>
    <t>pcs</t>
  </si>
  <si>
    <t>Aluminum foil anf welded wire mesh</t>
  </si>
  <si>
    <t>Angle Cleates - 2 x 2 angle bar</t>
  </si>
  <si>
    <t>SINGLE/DOUBLE ANGLE</t>
  </si>
  <si>
    <t>TRUSS 2</t>
  </si>
  <si>
    <t>pcs 1.2x2.4</t>
  </si>
  <si>
    <t>pcs x 6.2 m length</t>
  </si>
  <si>
    <t xml:space="preserve">Diagonal Web Chords </t>
  </si>
  <si>
    <t>pcs x 3.03m length</t>
  </si>
  <si>
    <t>2 x 6 C purlins sinepa</t>
  </si>
  <si>
    <t>2 x 4 C purlins sinepa</t>
  </si>
  <si>
    <t>TRUSS 3</t>
  </si>
  <si>
    <t xml:space="preserve">Diagonal Web Chords 1 1/2 x 1 1/2  </t>
  </si>
  <si>
    <t>pcs x 8.36m length</t>
  </si>
  <si>
    <t>Perimeter</t>
  </si>
  <si>
    <t>outside</t>
  </si>
  <si>
    <t>Height</t>
  </si>
  <si>
    <t>inside</t>
  </si>
  <si>
    <t xml:space="preserve">plant box </t>
  </si>
  <si>
    <t>Area</t>
  </si>
  <si>
    <t>PLASTERING</t>
  </si>
  <si>
    <t>plantbox</t>
  </si>
  <si>
    <t>RAMP</t>
  </si>
  <si>
    <t>AREA</t>
  </si>
  <si>
    <t>t</t>
  </si>
  <si>
    <t>Vol</t>
  </si>
  <si>
    <t>kg/m2</t>
  </si>
  <si>
    <t>kg for 138.4</t>
  </si>
  <si>
    <t>g.i. wire</t>
  </si>
  <si>
    <t>peremeter</t>
  </si>
  <si>
    <t>g1</t>
  </si>
  <si>
    <t>71pcs</t>
  </si>
  <si>
    <t>109pcs</t>
  </si>
  <si>
    <t>21.29kgs</t>
  </si>
  <si>
    <t>sog</t>
  </si>
  <si>
    <t>c1</t>
  </si>
  <si>
    <t>c2</t>
  </si>
  <si>
    <t>L</t>
  </si>
  <si>
    <t>conc</t>
  </si>
  <si>
    <t>excav</t>
  </si>
  <si>
    <t>per</t>
  </si>
  <si>
    <t>vol</t>
  </si>
  <si>
    <t>Steel and Tinsmithry Works</t>
  </si>
  <si>
    <t>2" x 3" x 1.5 mm thk. G.I. C- Purlins</t>
  </si>
  <si>
    <t>2" x 4" x 1.5 mm thk. G.I. C- Purlins</t>
  </si>
  <si>
    <t>Epoxy Primer Paint for Steel Truss and Purlins</t>
  </si>
  <si>
    <t>Consumables (Welding Rods, etc.)</t>
  </si>
  <si>
    <t>Roofing Materials</t>
  </si>
  <si>
    <t>0.50 mm thk. Prepainted Rib Type Roofing</t>
  </si>
  <si>
    <t>0.50 mm  thk. Prepainted Roof Flashing</t>
  </si>
  <si>
    <t>10  mm thk. Aluminum Fim Laminated Foam  Two Sided w/ 12.5 mm welded wire #21</t>
  </si>
  <si>
    <t>Consumable Hardwares (Tekscrew,Blind Rivets,Sealant, etc.)</t>
  </si>
  <si>
    <t>2"*2"*6"</t>
  </si>
  <si>
    <t>1 1/2" X 1 1/2" X 5mm Steel Angle Bar</t>
  </si>
  <si>
    <t>1 1/4" X 1 1/4" X 3.5mm Steel Angle Bar</t>
  </si>
  <si>
    <t>double</t>
  </si>
  <si>
    <t># truss</t>
  </si>
  <si>
    <t>total L</t>
  </si>
  <si>
    <t>PORTAL BEAM 1</t>
  </si>
  <si>
    <t>PORTAL BEAM 2</t>
  </si>
  <si>
    <t>PORTAL BEAM 5</t>
  </si>
  <si>
    <t>PORTAL BEAM 6</t>
  </si>
  <si>
    <t>1 1/2" x 1 1/2" x 5.0 mm thk. Angle Bar</t>
  </si>
  <si>
    <t>1 1/4" x 1 1/4" x 3.5 mm thk. Angle Bar</t>
  </si>
  <si>
    <t>Epoxy Primer Paint for Steel Truss and Purlins (repaint of existing Steel Truss are included)</t>
  </si>
  <si>
    <t>10 mm Φ x 6 m DSB Grade 40 (Sag Rod with nuts and washer)</t>
  </si>
  <si>
    <t>0.50  mm thk. Prepainted  Sheet Gutter</t>
  </si>
  <si>
    <t>Water Proofing for Concrete Gutter</t>
  </si>
  <si>
    <t>4.1.1</t>
  </si>
  <si>
    <t>4.1.2</t>
  </si>
  <si>
    <t>4.2.1</t>
  </si>
  <si>
    <t>Trusses &amp; Portal Beams</t>
  </si>
  <si>
    <t>Off-White Semi-Gloss Latex Paint Finish  (surface preparation, primer and at least 2 top coats)</t>
  </si>
  <si>
    <t>Dark Grey Semi-Gloss Latex Paint Finish  (surface preparation, primer and at least 2 top coats)</t>
  </si>
  <si>
    <t>Maroon Semi-Gloss Latex Paint Finish  (surface preparation, primer and at least 2 top coats)</t>
  </si>
  <si>
    <t>Steel Hand Railings</t>
  </si>
  <si>
    <t xml:space="preserve">2" ø x 1.2 mm thick S304 Stainless Pipe </t>
  </si>
  <si>
    <t>Floor Tiles</t>
  </si>
  <si>
    <t>Wall Tiles</t>
  </si>
  <si>
    <t>Acoustic Wall</t>
  </si>
  <si>
    <t>Polyester Pannel on 3/4" Marine Plywood Covered with Acoustic Foam and Polyester Fiber Acoustic Sheet</t>
  </si>
  <si>
    <t>logo</t>
  </si>
  <si>
    <t>1" x 1" 3mm thk. Angle Bar</t>
  </si>
  <si>
    <t>Consumable Hardwares (Welding Rods,Tekscrew,Blind Rivets,Sealant, etc.)</t>
  </si>
  <si>
    <t>16mm Ø x 200mm Anchor Bolts (L shaped) with Nuts and Washer</t>
  </si>
  <si>
    <t>Logo Monolith Structural</t>
  </si>
  <si>
    <t>Pre-painted Plain Sheet Flashing (Light Gray)</t>
  </si>
  <si>
    <t>2" x 4" x 3mm thk. B.I Tubular</t>
  </si>
  <si>
    <t>2" x 6" x 3mm thk. B.I Tubular</t>
  </si>
  <si>
    <t>4" x 4" x 3mm thk. B.I Tubular</t>
  </si>
  <si>
    <t>2" x 2" x 1.5mm thk. B.I Tubular</t>
  </si>
  <si>
    <t>Grade Beam and Tie Beam</t>
  </si>
  <si>
    <t>4.3.1</t>
  </si>
  <si>
    <t>4.3.2</t>
  </si>
  <si>
    <t>4.3.3</t>
  </si>
  <si>
    <t>4.3.4</t>
  </si>
  <si>
    <t>4.3.5</t>
  </si>
  <si>
    <t>4.3.6</t>
  </si>
  <si>
    <t>4.4.1</t>
  </si>
  <si>
    <t>4.4.2</t>
  </si>
  <si>
    <t>4.4.3</t>
  </si>
  <si>
    <t>4.4.4</t>
  </si>
  <si>
    <t>4.5.1</t>
  </si>
  <si>
    <t>4.5.2</t>
  </si>
  <si>
    <t>4" CHB  Wall (including mortar and  10 mm steel reinforcement every three CHB layer and 0.60 m horizontal spacing)</t>
  </si>
  <si>
    <t>Architectural Works</t>
  </si>
  <si>
    <t>Smooth Cement Plastering Exterior Wall, Interior Wall, Beams, Columns etc.</t>
  </si>
  <si>
    <t>4.5.3</t>
  </si>
  <si>
    <t>4.6.1</t>
  </si>
  <si>
    <t>4.6.2</t>
  </si>
  <si>
    <t>4.7.1</t>
  </si>
  <si>
    <t>4.7.2</t>
  </si>
  <si>
    <t>4.8.1</t>
  </si>
  <si>
    <t>4.8.2</t>
  </si>
  <si>
    <t>Stairs and Ramp Finish</t>
  </si>
  <si>
    <t>Doors</t>
  </si>
  <si>
    <t>D3- single swing mahogany wooden solid panel door &amp; jamb knob: heavy duty lever type bolt: single cylinder stainless steel deadbolt</t>
  </si>
  <si>
    <t>D4- single swing tanguile wooden solid panel door &amp; jamb knob: heavy duty lever type bolt: single cylinder stainless steel deadbolt</t>
  </si>
  <si>
    <t>D5- single swing tanguile wooden semi-solid panel door &amp; jamb  with louvers knob: heavy duty lever type</t>
  </si>
  <si>
    <t>D6- 3/4" thk. marine plywood with s4s wood edging cubicle door including metal jamb with stainless steel flush mounted hinges and toilet door stainless steel security bolt lock plug hardware</t>
  </si>
  <si>
    <t>D8- single swing tanguile wooden semi-solid panel door &amp; jamb with louvers &amp; kick plate knob: s304 h-type door handle</t>
  </si>
  <si>
    <t>D1- 12mm thk. tempered glass with frosted decals double panel swing frameless double glass door with closer and s304 stainless h-type door handle  and complete accessories</t>
  </si>
  <si>
    <t>D7- single swing tanguile wooden solid panel door &amp; jamb covered with acoustic foam &amp; polyester fiber acoustic on interior face (jib door type) knob: heavy duty lever type</t>
  </si>
  <si>
    <t xml:space="preserve">W1- 2m x 1m white powder coated aluminum fixed window with one way reflective (exterior) 12mm thk. tempered reflective bronze glass </t>
  </si>
  <si>
    <t xml:space="preserve">W2- 0.8m x 1.5m white powder coated aluminum awning window with one way reflective (exterior) 6mm thk. reflective bronze glass </t>
  </si>
  <si>
    <t xml:space="preserve">W3- 1.2m x 1.8m white powder coated aluminum awning window with one way reflective (exterior) 6mm thk. reflective bronze glass </t>
  </si>
  <si>
    <t xml:space="preserve">W4- 0.55m x 1.5m white powder coated aluminum awning window with one way reflective (exterior) 6mm thk. reflective bronze glass </t>
  </si>
  <si>
    <t xml:space="preserve">W5- 0.6m x 1.2m white powder coated aluminum awning window with one way reflective (exterior) 6mm thk. reflective bronze glass </t>
  </si>
  <si>
    <t xml:space="preserve">W6- 0.6m x 0.6m white powder coated aluminum awning window with one way reflective (exterior) 6mm thk. reflective bronze glass </t>
  </si>
  <si>
    <t xml:space="preserve">W7- 1.2m x 1.4m white powder coated aluminum fixed corner window with one way reflective (exterior) 6mm thk. reflective bronze glass </t>
  </si>
  <si>
    <t>3.7.4</t>
  </si>
  <si>
    <t>3.7.3.1</t>
  </si>
  <si>
    <t>3.7.3.2</t>
  </si>
  <si>
    <t>3.7.3.3</t>
  </si>
  <si>
    <t>perimeter chb</t>
  </si>
  <si>
    <t>12mm thk. Perforated Gypsum Board on Framing System with complete accessories (Flat Latex Paint Finish)</t>
  </si>
  <si>
    <t>4.5mm thk. Fiber Cement Board on Framing System with complete accessories (Flat Lattex Paint Finish)</t>
  </si>
  <si>
    <t>2.95m x 0.25m x 8mm thk. PVC Ceiling Panel on Framing System with complete accessories (Wood Texture Finish)</t>
  </si>
  <si>
    <t>2.95m x 0.25m x 8mm thk. PVC Ceiling Panel on Framing System with complete accessories (Light Gray Wood Finish)</t>
  </si>
  <si>
    <t xml:space="preserve">0.5mm thk. Pre-Painted Wood Texture Spandrel  including framing, air ventilation holes and mouldings with complete accessories </t>
  </si>
  <si>
    <t>4.6.3</t>
  </si>
  <si>
    <t>12mm thk. x 0.25m x 0.25m Steel Plate</t>
  </si>
  <si>
    <t>2" x 2" x 6.0 mm thk. Angle Bar</t>
  </si>
  <si>
    <t>5" CHB  Wall (including mortar and  10 mm steel reinforcement every three CHB layer and 0.60 m horizontal spacing)</t>
  </si>
  <si>
    <t>1" x 1" x 3.0 mm thk. Angle Bar</t>
  </si>
  <si>
    <t>2" x 6" x 1.2 mm thk. G.I. C- Purlins</t>
  </si>
  <si>
    <t>2" x 4" x 1.2 mm thk. G.I. C- Purlins</t>
  </si>
  <si>
    <t>1 1/2" x 1 1/2" x 1.5mm thk. B.I Tubular</t>
  </si>
  <si>
    <t>2" x 3" x 2.0mm thk. B.I Tubular</t>
  </si>
  <si>
    <t>Demoliton/Removal of Existing Affected Structure (Trees, CHB walls, concrete slabs, steel pipes, electrical &amp; plumbing wires, pipes &amp; fixtures, tiles &amp; floor finishes, ceiling boards, roof, c-purlins, door &amp; jamb, window, scraping of old paint and all other affected areas, etc.)</t>
  </si>
  <si>
    <t>Down Spout Strainer</t>
  </si>
  <si>
    <t>200mm x 1200mm Glazed Ceramic Floor Tiles including adhesive, grout and topping</t>
  </si>
  <si>
    <t>600mm x 600mm Non-skid Ceramic Tiles  including adhesive, grout and topping</t>
  </si>
  <si>
    <t>300mm x 600mm Decorative Border Wall Tiles including adhesive, grout and topping</t>
  </si>
  <si>
    <t>300mm x 600mm White Ceramic Wall Tiles including adhesive, grout and topping</t>
  </si>
  <si>
    <t>Araal Slate Decorative Stone  including adhesive, grout and topping</t>
  </si>
  <si>
    <t>200mm x 1200mm x 3mm thk. Vinyl Tile including adhesive</t>
  </si>
  <si>
    <t>#10 Pebble Washout including Groove for Ramp</t>
  </si>
  <si>
    <t>Black Rubber Stair Nosing including consumables</t>
  </si>
  <si>
    <t>Chairs</t>
  </si>
  <si>
    <t>Ergodynamic Theater Chair (Interconnected/ Sharing) including accessories and consumables</t>
  </si>
  <si>
    <t>Director, FDMO</t>
  </si>
  <si>
    <t>DR. ARNOLD E. VELASCO</t>
  </si>
  <si>
    <t>DR. GRACE N. ROSETE</t>
  </si>
  <si>
    <t>AR. ARLEN M. GUIEB</t>
  </si>
  <si>
    <t>4.9.1</t>
  </si>
  <si>
    <t>4.9.2</t>
  </si>
  <si>
    <t>4.10.1</t>
  </si>
  <si>
    <t>4.10.2</t>
  </si>
  <si>
    <t>4.10.3</t>
  </si>
  <si>
    <t>4.10.4</t>
  </si>
  <si>
    <t>4.10.5</t>
  </si>
  <si>
    <t>4.10.6</t>
  </si>
  <si>
    <t>4.10.7</t>
  </si>
  <si>
    <t>4.11.1</t>
  </si>
  <si>
    <t>5.1.1</t>
  </si>
  <si>
    <t>5.1.2</t>
  </si>
  <si>
    <t>5.1.3</t>
  </si>
  <si>
    <t>5.1.4</t>
  </si>
  <si>
    <t>5.1.5</t>
  </si>
  <si>
    <t>5.1.6</t>
  </si>
  <si>
    <t>5.2.1</t>
  </si>
  <si>
    <t>5.2.2</t>
  </si>
  <si>
    <t>5.2.3</t>
  </si>
  <si>
    <t>5.2.4</t>
  </si>
  <si>
    <t>5.2.5</t>
  </si>
  <si>
    <t>5.2.6</t>
  </si>
  <si>
    <t>5.3.1</t>
  </si>
  <si>
    <t>5.3.2</t>
  </si>
  <si>
    <t>5.3.3</t>
  </si>
  <si>
    <t>5.3.4</t>
  </si>
  <si>
    <t>5.3.5</t>
  </si>
  <si>
    <t>5.3.6</t>
  </si>
  <si>
    <t>5.3.7</t>
  </si>
  <si>
    <t>5.3.8</t>
  </si>
  <si>
    <t>5.3.9</t>
  </si>
  <si>
    <t>5.4.1</t>
  </si>
  <si>
    <t>5.4.2</t>
  </si>
  <si>
    <t>5.4.3</t>
  </si>
  <si>
    <t>5.4.4</t>
  </si>
  <si>
    <t>5.4.5</t>
  </si>
  <si>
    <t>5.4.6</t>
  </si>
  <si>
    <t>5.4.7</t>
  </si>
  <si>
    <t>5.4.8</t>
  </si>
  <si>
    <t>5.4.9</t>
  </si>
  <si>
    <t>5.4.10</t>
  </si>
  <si>
    <t>5.5.1</t>
  </si>
  <si>
    <t>5.5.2</t>
  </si>
  <si>
    <t>5.5.3</t>
  </si>
  <si>
    <t>5.5.4</t>
  </si>
  <si>
    <t>5.5.5</t>
  </si>
  <si>
    <t>5.5.6</t>
  </si>
  <si>
    <t>5.5.7</t>
  </si>
  <si>
    <t>5.5.8</t>
  </si>
  <si>
    <t>5.5.9</t>
  </si>
  <si>
    <t>5.6.1</t>
  </si>
  <si>
    <t>5.6.2</t>
  </si>
  <si>
    <t>D2- 12mm thk. tempered glass with frosted decals double panel swing frameless double glass door with transom window, closer and s304 stainless h-type door handle  and complete accessories</t>
  </si>
  <si>
    <t>Green Lawn Grass with Garden  Soil</t>
  </si>
  <si>
    <t xml:space="preserve">50 mm x 50 mm Wye PVC </t>
  </si>
  <si>
    <t>Stormdrain Pipes and Fittings</t>
  </si>
  <si>
    <t>75 mm Elbow PVC</t>
  </si>
  <si>
    <t>100 mm Tee PVC</t>
  </si>
  <si>
    <t>32 mm Ø Heavy Duty Brass Body Check Valve</t>
  </si>
  <si>
    <t>Septic Tanks and Catchbasins</t>
  </si>
  <si>
    <t>Concreting, 3000 psi</t>
  </si>
  <si>
    <t>4" Concrete Hollowblocks</t>
  </si>
  <si>
    <t>0.70m Ø Stainless Steel with TSU Logo and " TSU AMPHITHEATER " Lettering (font: calibri) - hairline stainless gauge #18, 2" build up sidings and stainless pin mounted  (waterproof led strip smd module with power supply) with Led Back Light</t>
  </si>
  <si>
    <t xml:space="preserve">1.0m x 0.60 m x 6.0 mm Beveled Edge Lead Free Mirror with 6mm ∅ S304 Stainless Mirror Holder </t>
  </si>
  <si>
    <t>32mm Ø S304 Stainless Steel PWD Grab Bar for PWD Toilet</t>
  </si>
  <si>
    <t>Consumables (Fertilizers etc.)</t>
  </si>
  <si>
    <t>210mm x 180mm x 5mm thk. high-grade aluminum alloy frame toilet signage (All Gender PWD Restroom)</t>
  </si>
  <si>
    <t>100mm x 200mm x 5mm thk. Stainless Dressing Room and Rest Room Signages   (Men and Women)</t>
  </si>
  <si>
    <t>16"Ø Eugenia Ball Topiary Plants</t>
  </si>
  <si>
    <t>1.2m Height Eugenia Plants</t>
  </si>
  <si>
    <t>ENGR. ALEXANDER JHON S. TABAQUERO</t>
  </si>
  <si>
    <t>ENGR. ROVINSON F. FRIAS</t>
  </si>
  <si>
    <t>8.4.5</t>
  </si>
  <si>
    <t>8.4.4</t>
  </si>
  <si>
    <t>8.4.3</t>
  </si>
  <si>
    <t>8.5.1</t>
  </si>
  <si>
    <t>8.5.2</t>
  </si>
  <si>
    <t>8.5.3</t>
  </si>
  <si>
    <t>8.5.4</t>
  </si>
  <si>
    <t>8.5.5</t>
  </si>
  <si>
    <t>8.5.6</t>
  </si>
  <si>
    <t>Slab on Grade, Zocalo, Ramp, Plantbox and Stairs</t>
  </si>
  <si>
    <t>5.7.1</t>
  </si>
  <si>
    <t>5.7.2</t>
  </si>
  <si>
    <t>Condenser Unit Bracket</t>
  </si>
  <si>
    <t>20 Watts Recessed COB LED Square Downlight [Color: Nature White]</t>
  </si>
  <si>
    <t>12 Watts Recessed Mounted LED Panel Square Downlight [Color: Daylight]</t>
  </si>
  <si>
    <t>12 Watts Recessed Mounted LED Panel Square Downlight [Color: Warm White]</t>
  </si>
  <si>
    <t>6" E27 Cylindrical Downlight with 18W LED Bulb [Color: Warm White]</t>
  </si>
  <si>
    <t>3 Watts Recessed LED Emergency Light [Ceiling Mounted]</t>
  </si>
  <si>
    <t>3 Meters Outdoor LED Striplight with Driver [Color: Daylight]</t>
  </si>
  <si>
    <t>10 Meters Outdoor LED Striplight with Driver [Color: Daylight]</t>
  </si>
  <si>
    <t>Universal Duplex Convenience Outlet</t>
  </si>
  <si>
    <t>1 Gang Switch Wide Series with LED</t>
  </si>
  <si>
    <t>2 Gang Switch Wide Series with LED</t>
  </si>
  <si>
    <t>3 Gang Switch Wide Series with LED</t>
  </si>
  <si>
    <t>Panelboard and Circuit Breaker</t>
  </si>
  <si>
    <t>40AT 2P MCCB in NEMA-3R Enclosure with Mechanical Lugs</t>
  </si>
  <si>
    <t>30AT 2P MCCB in NEMA-3R Enclosure with Mechanical Lugs</t>
  </si>
  <si>
    <t>4 -Zone Conventional Fire Alarm Control Panel</t>
  </si>
  <si>
    <t>Conventional Smoke Detector</t>
  </si>
  <si>
    <t>Conventional Resettable Manual Pull Station</t>
  </si>
  <si>
    <t>Conventional  6" Fire Alarm Bell</t>
  </si>
  <si>
    <t>Red Flash Light</t>
  </si>
  <si>
    <t>Auxiliary</t>
  </si>
  <si>
    <t>CCTV Camera</t>
  </si>
  <si>
    <t>Network Video Recorder with 4 TB Hard disk [16 Channel]</t>
  </si>
  <si>
    <t>Power over Ethernet Switch [8-Port]</t>
  </si>
  <si>
    <t>60" LED Smart Television</t>
  </si>
  <si>
    <t>6U Data Cabinet with Power Distribution Unit and complete accessories</t>
  </si>
  <si>
    <t>CCTV System accessories</t>
  </si>
  <si>
    <t>1/2" Ø PVC Flexible Conduit</t>
  </si>
  <si>
    <t>1/2" Ø Mica Tube (60 meters per roll)</t>
  </si>
  <si>
    <t>Wires and Cables</t>
  </si>
  <si>
    <t>60 mm² Cu. THHN/THWN (STR)</t>
  </si>
  <si>
    <t>22 mm² Cu. THHN/THWN (STR)</t>
  </si>
  <si>
    <t>8.0 mm² Cu. THHN/THWN (STR)</t>
  </si>
  <si>
    <t>5.5 mm² Cu. THHN/THWN (STR)</t>
  </si>
  <si>
    <t>3.5 mm² Cu. THHN/THWN (STR)</t>
  </si>
  <si>
    <t>1.25 mm² TF Wire (STR &amp; Twisted Two-conductor)</t>
  </si>
  <si>
    <t>Miscellaneous</t>
  </si>
  <si>
    <t>Electrical Service Entrace Concrete Pedestal</t>
  </si>
  <si>
    <t>Concrete Encasement</t>
  </si>
  <si>
    <t>Excavation and backfilling</t>
  </si>
  <si>
    <t>Three-Spool Secondary Rack</t>
  </si>
  <si>
    <t xml:space="preserve">2"x 4" PVC Utility Box </t>
  </si>
  <si>
    <t>4" x 4" PVC Junction Box</t>
  </si>
  <si>
    <t>Ground Rod with solderless connector</t>
  </si>
  <si>
    <t>10" Ceiling Mounted Exhaust Fan</t>
  </si>
  <si>
    <t xml:space="preserve">Consumables Hardwares </t>
  </si>
  <si>
    <t>8.6.1</t>
  </si>
  <si>
    <t>8.6.2</t>
  </si>
  <si>
    <t>8.6.3</t>
  </si>
  <si>
    <t>8.6.4</t>
  </si>
  <si>
    <t>8.6.5</t>
  </si>
  <si>
    <t>8.6.6</t>
  </si>
  <si>
    <t>8.6.7</t>
  </si>
  <si>
    <t>8.6.8</t>
  </si>
  <si>
    <t>8.7.1</t>
  </si>
  <si>
    <t>8.7.2</t>
  </si>
  <si>
    <t>8.7.3</t>
  </si>
  <si>
    <t>8.7.4</t>
  </si>
  <si>
    <t>8.7.5</t>
  </si>
  <si>
    <t>8.7.6</t>
  </si>
  <si>
    <t>8.7.7</t>
  </si>
  <si>
    <t>8.8.1</t>
  </si>
  <si>
    <t>8.8.2</t>
  </si>
  <si>
    <t>8.8.3</t>
  </si>
  <si>
    <t>8.8.4</t>
  </si>
  <si>
    <t>8.8.5</t>
  </si>
  <si>
    <t>8.8.6</t>
  </si>
  <si>
    <t>8.8.7</t>
  </si>
  <si>
    <t>8.8.8</t>
  </si>
  <si>
    <t>8.8.9</t>
  </si>
  <si>
    <t>8.8.10</t>
  </si>
  <si>
    <t>8.8.11</t>
  </si>
  <si>
    <t>9.1.8</t>
  </si>
  <si>
    <t>9.1.9</t>
  </si>
  <si>
    <t>9.1.10</t>
  </si>
  <si>
    <t>9.1.11</t>
  </si>
  <si>
    <t>9.1.12</t>
  </si>
  <si>
    <t>9.1.13</t>
  </si>
  <si>
    <t>9.2.4</t>
  </si>
  <si>
    <t>9.2.5</t>
  </si>
  <si>
    <t>9.2.6</t>
  </si>
  <si>
    <t>9.3.5</t>
  </si>
  <si>
    <t>9.3.6</t>
  </si>
  <si>
    <t>9.3.7</t>
  </si>
  <si>
    <t>9.4.4</t>
  </si>
  <si>
    <t>9.4.5</t>
  </si>
  <si>
    <t>9.4.6</t>
  </si>
  <si>
    <t>9.4.7</t>
  </si>
  <si>
    <t>9.4.8</t>
  </si>
  <si>
    <t>9.4.9</t>
  </si>
  <si>
    <t>9.4.10</t>
  </si>
  <si>
    <t>9.4.11</t>
  </si>
  <si>
    <t>9.5.4</t>
  </si>
  <si>
    <t>9.5.5</t>
  </si>
  <si>
    <t>9.5.6</t>
  </si>
  <si>
    <t>9.5.7</t>
  </si>
  <si>
    <t>9.5.8</t>
  </si>
  <si>
    <t>9.5.9</t>
  </si>
  <si>
    <t>9.5.10</t>
  </si>
  <si>
    <t>9.5.11</t>
  </si>
  <si>
    <t>9.5.12</t>
  </si>
  <si>
    <t>5.7.3</t>
  </si>
  <si>
    <t>5.3.10</t>
  </si>
  <si>
    <t>Painting of Steel  Angle Bar (Quick Drying Enamel- Black) including Epoxy Primer</t>
  </si>
  <si>
    <t>5.4.11</t>
  </si>
  <si>
    <t>Epoxy Primer Paint for Steel Framing Materials</t>
  </si>
  <si>
    <t>5.5.10</t>
  </si>
  <si>
    <t>Fire Extinguisher 10lbs ABC Dry Chemical  (Red) BFP Approved with bracket</t>
  </si>
  <si>
    <t>25mm x 40mm Fire Exit Signages (Glow in the Dark)</t>
  </si>
  <si>
    <t>20mm x 30mm Entrance/Exit Signages (Glow in the Dark)</t>
  </si>
  <si>
    <t>Cubicle Laminated Partition</t>
  </si>
  <si>
    <t>4.10.8</t>
  </si>
  <si>
    <t>4.11.2</t>
  </si>
  <si>
    <t>4.11.3</t>
  </si>
  <si>
    <t>4.11.4</t>
  </si>
  <si>
    <t>4.11.5</t>
  </si>
  <si>
    <t>4.11.6</t>
  </si>
  <si>
    <t>4.11.7</t>
  </si>
  <si>
    <t>4.12.1</t>
  </si>
  <si>
    <r>
      <t>[</t>
    </r>
    <r>
      <rPr>
        <i/>
        <sz val="20"/>
        <rFont val="Arial"/>
        <family val="2"/>
      </rPr>
      <t>Bidder's Letterhead</t>
    </r>
    <r>
      <rPr>
        <sz val="20"/>
        <rFont val="Arial"/>
        <family val="2"/>
      </rPr>
      <t>]</t>
    </r>
  </si>
  <si>
    <r>
      <t>[</t>
    </r>
    <r>
      <rPr>
        <i/>
        <sz val="12"/>
        <rFont val="Times New Roman"/>
        <family val="1"/>
      </rPr>
      <t>Date</t>
    </r>
    <r>
      <rPr>
        <sz val="12"/>
        <rFont val="Times New Roman"/>
        <family val="1"/>
      </rPr>
      <t>]</t>
    </r>
  </si>
  <si>
    <t>To: Tarlac State University</t>
  </si>
  <si>
    <r>
      <t xml:space="preserve">Re: </t>
    </r>
    <r>
      <rPr>
        <sz val="12"/>
        <color rgb="FFC00000"/>
        <rFont val="Times New Roman"/>
        <family val="1"/>
      </rPr>
      <t>Invitation to Bid No.</t>
    </r>
  </si>
  <si>
    <t>BILL OF QUANTITIES</t>
  </si>
  <si>
    <t>Item No.</t>
  </si>
  <si>
    <t>Work Description</t>
  </si>
  <si>
    <t>Materials</t>
  </si>
  <si>
    <t>Work Item</t>
  </si>
  <si>
    <t>Direct Cost</t>
  </si>
  <si>
    <t>Indirect Cost</t>
  </si>
  <si>
    <t>Total Direct &amp; Indirect Cost</t>
  </si>
  <si>
    <t>Value Added Tax</t>
  </si>
  <si>
    <t>Total Cost</t>
  </si>
  <si>
    <t>Cost per Unit of Work Item</t>
  </si>
  <si>
    <t>Quantity</t>
  </si>
  <si>
    <t>Materials, Labor, and Equipment</t>
  </si>
  <si>
    <t>Overhead, Contingrncies,  Miscellaneous, &amp; Profit</t>
  </si>
  <si>
    <t>(1)</t>
  </si>
  <si>
    <t>(2)</t>
  </si>
  <si>
    <t>(3)</t>
  </si>
  <si>
    <t>(4)</t>
  </si>
  <si>
    <t>(5)</t>
  </si>
  <si>
    <t>(6)</t>
  </si>
  <si>
    <t>(7)</t>
  </si>
  <si>
    <t>(8)</t>
  </si>
  <si>
    <t>(9)</t>
  </si>
  <si>
    <t>(10)</t>
  </si>
  <si>
    <r>
      <t>[</t>
    </r>
    <r>
      <rPr>
        <i/>
        <sz val="11"/>
        <color theme="1"/>
        <rFont val="Calibri"/>
        <family val="2"/>
        <scheme val="minor"/>
      </rPr>
      <t>In Figures</t>
    </r>
    <r>
      <rPr>
        <sz val="10"/>
        <rFont val="Arial"/>
        <family val="2"/>
      </rPr>
      <t>]</t>
    </r>
  </si>
  <si>
    <r>
      <t>[</t>
    </r>
    <r>
      <rPr>
        <i/>
        <sz val="14"/>
        <color theme="1"/>
        <rFont val="Calibri"/>
        <family val="2"/>
        <scheme val="minor"/>
      </rPr>
      <t>Signature</t>
    </r>
    <r>
      <rPr>
        <sz val="14"/>
        <color theme="1"/>
        <rFont val="Calibri"/>
        <family val="2"/>
        <scheme val="minor"/>
      </rPr>
      <t>]</t>
    </r>
  </si>
  <si>
    <r>
      <t>[</t>
    </r>
    <r>
      <rPr>
        <i/>
        <sz val="14"/>
        <color theme="1"/>
        <rFont val="Calibri"/>
        <family val="2"/>
        <scheme val="minor"/>
      </rPr>
      <t>Name of Authorized Signatory</t>
    </r>
    <r>
      <rPr>
        <sz val="14"/>
        <color theme="1"/>
        <rFont val="Calibri"/>
        <family val="2"/>
        <scheme val="minor"/>
      </rPr>
      <t>]</t>
    </r>
  </si>
  <si>
    <r>
      <t>[</t>
    </r>
    <r>
      <rPr>
        <i/>
        <sz val="14"/>
        <color theme="1"/>
        <rFont val="Calibri"/>
        <family val="2"/>
        <scheme val="minor"/>
      </rPr>
      <t>Position/Title</t>
    </r>
    <r>
      <rPr>
        <sz val="14"/>
        <color theme="1"/>
        <rFont val="Calibri"/>
        <family val="2"/>
        <scheme val="minor"/>
      </rPr>
      <t>]</t>
    </r>
  </si>
  <si>
    <t>Sub-Total</t>
  </si>
  <si>
    <t>Total Bid Price</t>
  </si>
  <si>
    <r>
      <t>[</t>
    </r>
    <r>
      <rPr>
        <i/>
        <sz val="11"/>
        <rFont val="Calibri"/>
        <family val="2"/>
        <scheme val="minor"/>
      </rPr>
      <t>In Words</t>
    </r>
    <r>
      <rPr>
        <sz val="11"/>
        <rFont val="Calibri"/>
        <family val="2"/>
        <scheme val="minor"/>
      </rPr>
      <t>]</t>
    </r>
  </si>
  <si>
    <t>Compact Laminated Cubicle Partition w/ door. Wall shall be Phenolic anti-bacterial waterproof toilet partition 12 mm w/ back-to-back hpl color including hinges, lock indicator, KF-A 106 bottom support, doorknob &amp; coat hook and using stainless accessories, aluminum headrail, U-channel &amp; door stopper w/ rubber seal.</t>
  </si>
  <si>
    <t>Consumable Hardwares (16mmØ Dynabolt, Welding Rods, etc. )</t>
  </si>
  <si>
    <t xml:space="preserve">Warehouse MDP (Bolt-on)                                                                                                                                               Main: 150AT 2P MCCB                                                                                                                              Branch: 6-40AT 2P MCB, 2-30AT 2P MCB, 8-20AT 2P MCB                                                                                                                           Space: 2                                                                                                                                                          With Busbars and Terminal Lugs Nema-1 Enclosure                                                                                </t>
  </si>
  <si>
    <t>2" Ø RSC</t>
  </si>
  <si>
    <t>2" Ø PVC</t>
  </si>
  <si>
    <t>1" Ø PVC</t>
  </si>
  <si>
    <t>3/4" Ø PVC</t>
  </si>
  <si>
    <t>1/2" Ø PVC</t>
  </si>
  <si>
    <t>2" Ø PVC Long Elbow</t>
  </si>
  <si>
    <t>2" Ø Service Entrance Cap</t>
  </si>
  <si>
    <t>1" Ø Service Entrance Cap</t>
  </si>
  <si>
    <t>100 mm Ø S1000 PVC Pipe</t>
  </si>
  <si>
    <t>50 mm Ø S1000 PVC Pipe</t>
  </si>
  <si>
    <t>100 mm Ø PVC Cleanout with Cover</t>
  </si>
  <si>
    <t>50 mm Ø PVC Cleanout with Cover</t>
  </si>
  <si>
    <t>75  mm Ø S1000 PVC Pipe</t>
  </si>
  <si>
    <t>150 mm Ø S1000 PVC Pipe</t>
  </si>
  <si>
    <t>2" x 2" x 5.0 mm thk. Angle Bar</t>
  </si>
  <si>
    <t>hilti</t>
  </si>
  <si>
    <t>21ml</t>
  </si>
  <si>
    <t>500ml</t>
  </si>
  <si>
    <t>3.3.7</t>
  </si>
  <si>
    <t>3.6.4</t>
  </si>
  <si>
    <t>3.6.5</t>
  </si>
  <si>
    <t>1 meter Track Rail with 4pcs of 10 Watts Track Lights [Color: Daylight]</t>
  </si>
  <si>
    <t>1 Meter Outdoor Neon LED Striplight with Driver and Recessed Mounted Aluminum Profile with Cover [Color: Ice Blue]</t>
  </si>
  <si>
    <t>500mm x 300mm Nema-1 Auxiliary Gutter</t>
  </si>
  <si>
    <t>590mm x 365mm x 130mm Rectangular Vessel Basin  with manual shutoff faucet handlebar type chrome finish and complete accessories (valve, p-trap, etc.)</t>
  </si>
  <si>
    <t>Wall Hung Urinal- (H 680mm x W 240mm x L 340mm) Top Inlet Urinal (Wall Mount Water Sensor) water saving w/ button type flush valve 0.8Gpf manual automatic shutoff and complete accessories (valve, etc.)</t>
  </si>
  <si>
    <t>Wash Basin: Wall Hang Type with Short Pedestal (L 585mm x W 425mm x H 500mm HCG ALEA LF70S) with manual shutoff faucet handlebar type chrome finish and complete accessories (valve, p-trap, etc.)</t>
  </si>
  <si>
    <t>HILTI Laser Meter</t>
  </si>
  <si>
    <t>(PD-S #2190182)</t>
  </si>
  <si>
    <t>HILTI Rebar Scanner (Multidetector PS 50 #2075559)</t>
  </si>
  <si>
    <t>1" x 2" x 1.5mm</t>
  </si>
  <si>
    <t>Demolition, Cleaning, Hauling, Disposal and Repair Works</t>
  </si>
  <si>
    <t>2mm thk. Galvanized Perforated Metal Round Hole Staggered Sheet</t>
  </si>
  <si>
    <t>1" x 2" x 1.5 mm thk. G.I Tubular</t>
  </si>
  <si>
    <t>Pest Control</t>
  </si>
  <si>
    <t>Repair of Existing Walls, Concrete Gutter and all affected/damaged areas</t>
  </si>
  <si>
    <t>Compact Laminated Cubicle Partition w/ door. Wall shall be Phenolic anti-bacterial waterproof toilet partition 12 mm w/ back-to-back hpl color including hinges, lock indicator, KF-A 106 bottom support, doorknob &amp; coat hook and using stainless accessories, aluminum headrail, U-channel &amp; door stopper w/ rubber seal for Male &amp; Female Comfort Rooms.</t>
  </si>
  <si>
    <t>HILTI-RE 500 V3 ADHESIVE</t>
  </si>
  <si>
    <t>Epoxy Primer Paint for Steel Truss and Purlins (Including existing Steel Truss)</t>
  </si>
  <si>
    <t>32 mm Ø PPR Pipe PN16</t>
  </si>
  <si>
    <t>40 mm Ø PPR Pipe PN16</t>
  </si>
  <si>
    <t>9.3.8</t>
  </si>
  <si>
    <t>9.3.9</t>
  </si>
  <si>
    <t>4"Ø Main Pipe with 40mmØ Split Pipe Saddle Clamp</t>
  </si>
  <si>
    <t>9.3.10</t>
  </si>
  <si>
    <t>4mm thk. Aluminum Composite Pannel (Teracotta and Light-gray)</t>
  </si>
  <si>
    <t>4mm thk. Aluminum Composite Pannel ( Light-gray)</t>
  </si>
  <si>
    <t>Logo Monolith</t>
  </si>
  <si>
    <t>Smooth Cement Plastering on Exterior Wall, Interior Wall, Beams, Columns etc.</t>
  </si>
  <si>
    <t>Logo and Monolith</t>
  </si>
  <si>
    <t>38 mm Ø Heavy Duty Brass Body Check Valve</t>
  </si>
  <si>
    <t>38 mm Ø Heavy Duty Brass Body Gate Valve</t>
  </si>
  <si>
    <t>38mmØ High Denisty Polyethylene Pipe</t>
  </si>
  <si>
    <t>Consumable Hardware and Fittings (elbow, tee, reducer, cap, coupling,reducer etc.)</t>
  </si>
  <si>
    <t>1.28m length x 0.60m width x ¾” thk. Black Blue Emerald solid granite Countertop including 0.20 m front siding</t>
  </si>
  <si>
    <t>0.95 m length x 0.60 m width x ¾” thk. Black Blue Emerald solid granite Countertop including at 0.20 m front siding</t>
  </si>
  <si>
    <t xml:space="preserve">Parapet and Gutter </t>
  </si>
  <si>
    <t>Façade and Cladding</t>
  </si>
  <si>
    <t>Stairs and Ramp</t>
  </si>
  <si>
    <t>Heavy Duty 1"Ø Water Meter</t>
  </si>
  <si>
    <t>Planning Head, FDMO</t>
  </si>
  <si>
    <t>Certified by:</t>
  </si>
  <si>
    <r>
      <t>12mm thk. Gypsum Board on Framing System with complete accessorie</t>
    </r>
    <r>
      <rPr>
        <b/>
        <sz val="16"/>
        <rFont val="Calibri Light"/>
        <family val="2"/>
      </rPr>
      <t>s</t>
    </r>
    <r>
      <rPr>
        <sz val="16"/>
        <rFont val="Calibri Light"/>
        <family val="2"/>
      </rPr>
      <t xml:space="preserve"> (Flat Latex Paint Finish)</t>
    </r>
  </si>
  <si>
    <r>
      <t>Consumable Hardwares (16mm</t>
    </r>
    <r>
      <rPr>
        <sz val="16"/>
        <color theme="1"/>
        <rFont val="Calibri"/>
        <family val="2"/>
      </rPr>
      <t>Ø</t>
    </r>
    <r>
      <rPr>
        <sz val="16"/>
        <color theme="1"/>
        <rFont val="Calibri Light"/>
        <family val="2"/>
      </rPr>
      <t xml:space="preserve"> Dynabolt, Welding Rods, etc. )</t>
    </r>
  </si>
  <si>
    <r>
      <t xml:space="preserve">100 mm </t>
    </r>
    <r>
      <rPr>
        <sz val="16"/>
        <color theme="1"/>
        <rFont val="Calibri"/>
        <family val="2"/>
      </rPr>
      <t xml:space="preserve">Ø </t>
    </r>
    <r>
      <rPr>
        <sz val="16"/>
        <color theme="1"/>
        <rFont val="Calibri Light"/>
        <family val="2"/>
      </rPr>
      <t>S1000 PVC Pipe</t>
    </r>
  </si>
  <si>
    <r>
      <rPr>
        <sz val="16"/>
        <color theme="1"/>
        <rFont val="Calibri"/>
        <family val="2"/>
      </rPr>
      <t xml:space="preserve">50 mm Ø </t>
    </r>
    <r>
      <rPr>
        <sz val="16"/>
        <color theme="1"/>
        <rFont val="Calibri Light"/>
        <family val="2"/>
      </rPr>
      <t>S1000 PVC Pipe</t>
    </r>
  </si>
  <si>
    <r>
      <t xml:space="preserve">100 mm </t>
    </r>
    <r>
      <rPr>
        <sz val="16"/>
        <color theme="1"/>
        <rFont val="Calibri"/>
        <family val="2"/>
      </rPr>
      <t>Ø</t>
    </r>
    <r>
      <rPr>
        <sz val="16"/>
        <color theme="1"/>
        <rFont val="Calibri Light"/>
        <family val="2"/>
      </rPr>
      <t xml:space="preserve"> PVC Cleanout with Cover</t>
    </r>
  </si>
  <si>
    <r>
      <t xml:space="preserve">50 mm </t>
    </r>
    <r>
      <rPr>
        <sz val="16"/>
        <color theme="1"/>
        <rFont val="Calibri"/>
        <family val="2"/>
      </rPr>
      <t>Ø</t>
    </r>
    <r>
      <rPr>
        <sz val="16"/>
        <color theme="1"/>
        <rFont val="Calibri Light"/>
        <family val="2"/>
      </rPr>
      <t xml:space="preserve"> PVC Cleanout with Cover</t>
    </r>
  </si>
  <si>
    <r>
      <t xml:space="preserve">75  mm </t>
    </r>
    <r>
      <rPr>
        <sz val="16"/>
        <color theme="1"/>
        <rFont val="Calibri"/>
        <family val="2"/>
      </rPr>
      <t xml:space="preserve">Ø </t>
    </r>
    <r>
      <rPr>
        <sz val="16"/>
        <color theme="1"/>
        <rFont val="Calibri Light"/>
        <family val="2"/>
      </rPr>
      <t>S1000 PVC Pipe</t>
    </r>
  </si>
  <si>
    <r>
      <t xml:space="preserve">150 mm </t>
    </r>
    <r>
      <rPr>
        <sz val="16"/>
        <color theme="1"/>
        <rFont val="Calibri"/>
        <family val="2"/>
      </rPr>
      <t xml:space="preserve">Ø </t>
    </r>
    <r>
      <rPr>
        <sz val="16"/>
        <color theme="1"/>
        <rFont val="Calibri Light"/>
        <family val="2"/>
      </rPr>
      <t>S1000 PVC Pipe</t>
    </r>
  </si>
  <si>
    <t>THIRTEEN MILLION FOUR HUNDRED FIFTY-NINE THOUSAND THREE HUNDRED TEN PESOS AND SIXTY-SIX CENTAVOS ONLY</t>
  </si>
  <si>
    <t>8.3.4</t>
  </si>
  <si>
    <r>
      <t>[</t>
    </r>
    <r>
      <rPr>
        <i/>
        <sz val="11"/>
        <color theme="1"/>
        <rFont val="Calibri"/>
        <family val="2"/>
        <scheme val="minor"/>
      </rPr>
      <t>Bidder's Letterhead</t>
    </r>
    <r>
      <rPr>
        <sz val="10"/>
        <rFont val="Arial"/>
        <family val="2"/>
      </rPr>
      <t>]</t>
    </r>
  </si>
  <si>
    <r>
      <t>[</t>
    </r>
    <r>
      <rPr>
        <i/>
        <sz val="11"/>
        <color theme="1"/>
        <rFont val="Calibri"/>
        <family val="2"/>
        <scheme val="minor"/>
      </rPr>
      <t>Date</t>
    </r>
    <r>
      <rPr>
        <sz val="10"/>
        <rFont val="Arial"/>
        <family val="2"/>
      </rPr>
      <t>]</t>
    </r>
  </si>
  <si>
    <t>Detailed Unit Price Analysis</t>
  </si>
  <si>
    <t>Unit Price</t>
  </si>
  <si>
    <t>Total Price</t>
  </si>
  <si>
    <t>A.</t>
  </si>
  <si>
    <t>Description</t>
  </si>
  <si>
    <t>Unit Cost</t>
  </si>
  <si>
    <t>(a) Total Cost of Materials</t>
  </si>
  <si>
    <t>B.</t>
  </si>
  <si>
    <t>Job Type</t>
  </si>
  <si>
    <t>Man-Days</t>
  </si>
  <si>
    <t>Wage Rate</t>
  </si>
  <si>
    <t>(b) Total Cost of Labor</t>
  </si>
  <si>
    <t>C.</t>
  </si>
  <si>
    <t>Equipment Utilization</t>
  </si>
  <si>
    <t>Equipment Utilized</t>
  </si>
  <si>
    <t>Utilization Period</t>
  </si>
  <si>
    <t>Utilization Rate</t>
  </si>
  <si>
    <t>(c) Total Cost for Equipment Utilization</t>
  </si>
  <si>
    <t xml:space="preserve">(d) Total Direct Costs = (a) + (b) + (c) </t>
  </si>
  <si>
    <t>(e) Indirect Costs: OCM and Profit</t>
  </si>
  <si>
    <t>(f) Total Direct and Indirect Costs = (d) + (e)</t>
  </si>
  <si>
    <t>(g) Value Added Tax</t>
  </si>
  <si>
    <t>(h) Total Price</t>
  </si>
  <si>
    <r>
      <t>[</t>
    </r>
    <r>
      <rPr>
        <i/>
        <sz val="11"/>
        <color theme="1"/>
        <rFont val="Calibri"/>
        <family val="2"/>
        <scheme val="minor"/>
      </rPr>
      <t>Signature</t>
    </r>
    <r>
      <rPr>
        <sz val="10"/>
        <rFont val="Arial"/>
        <family val="2"/>
      </rPr>
      <t>]</t>
    </r>
  </si>
  <si>
    <r>
      <t>[</t>
    </r>
    <r>
      <rPr>
        <i/>
        <sz val="11"/>
        <color theme="1"/>
        <rFont val="Calibri"/>
        <family val="2"/>
        <scheme val="minor"/>
      </rPr>
      <t>Name of Authorized Representative</t>
    </r>
    <r>
      <rPr>
        <sz val="10"/>
        <rFont val="Arial"/>
        <family val="2"/>
      </rPr>
      <t>]</t>
    </r>
  </si>
  <si>
    <r>
      <t>[</t>
    </r>
    <r>
      <rPr>
        <i/>
        <sz val="11"/>
        <color theme="1"/>
        <rFont val="Calibri"/>
        <family val="2"/>
        <scheme val="minor"/>
      </rPr>
      <t>Title/Position</t>
    </r>
    <r>
      <rPr>
        <sz val="10"/>
        <rFont val="Arial"/>
        <family val="2"/>
      </rPr>
      <t>]</t>
    </r>
  </si>
  <si>
    <t>Name of Contract/Project: Refurbishment of Amphitheater</t>
  </si>
  <si>
    <t>4.10.</t>
  </si>
  <si>
    <t>4.12.</t>
  </si>
  <si>
    <r>
      <t>m</t>
    </r>
    <r>
      <rPr>
        <sz val="12"/>
        <color theme="1"/>
        <rFont val="Calibri"/>
        <family val="2"/>
      </rPr>
      <t>³</t>
    </r>
  </si>
  <si>
    <r>
      <t>m</t>
    </r>
    <r>
      <rPr>
        <sz val="12"/>
        <color theme="1"/>
        <rFont val="Calibri"/>
        <family val="2"/>
      </rPr>
      <t>²</t>
    </r>
  </si>
  <si>
    <t>21.1.5</t>
  </si>
  <si>
    <t>3 Meters Outdoor Neon LED Striplight with Driver [Color: Warm White]</t>
  </si>
  <si>
    <t>10 Meters Outdoor Neon LED Striplight with Driver [Color: Warm White]</t>
  </si>
  <si>
    <t>21.2.10</t>
  </si>
  <si>
    <t>21.4.2</t>
  </si>
  <si>
    <r>
      <t>1/2" Ø</t>
    </r>
    <r>
      <rPr>
        <sz val="14"/>
        <rFont val="Arial"/>
        <family val="2"/>
      </rPr>
      <t xml:space="preserve"> PVC</t>
    </r>
  </si>
  <si>
    <t>21.5.5</t>
  </si>
  <si>
    <t>21.6.2</t>
  </si>
  <si>
    <t>21.5.1</t>
  </si>
  <si>
    <t>21.5.2</t>
  </si>
  <si>
    <t>4" x 4" PVC Junction Box with Cover</t>
  </si>
  <si>
    <t>21.2.2</t>
  </si>
  <si>
    <t>Air-conditioning System</t>
  </si>
  <si>
    <t>21.7.2</t>
  </si>
  <si>
    <r>
      <t>3/4" Ø</t>
    </r>
    <r>
      <rPr>
        <sz val="14"/>
        <rFont val="Arial"/>
        <family val="2"/>
      </rPr>
      <t xml:space="preserve"> PVC</t>
    </r>
  </si>
  <si>
    <t>Structured Cabling System</t>
  </si>
  <si>
    <t>Duplex CAT6 LAN Outlet (Wall Mounted)</t>
  </si>
  <si>
    <t>Single CAT6 LAN Outlet (Ceiling  Mounted)</t>
  </si>
  <si>
    <t>Gigabit Power-over-Ethernet Network Switch Hub (8-Port)</t>
  </si>
  <si>
    <t>21.6.3</t>
  </si>
  <si>
    <t>5" x 5" PVC Square Box with Cover</t>
  </si>
  <si>
    <t>Speaker System</t>
  </si>
  <si>
    <r>
      <t>1" Ø</t>
    </r>
    <r>
      <rPr>
        <sz val="14"/>
        <rFont val="Arial"/>
        <family val="2"/>
      </rPr>
      <t xml:space="preserve"> PVC</t>
    </r>
  </si>
  <si>
    <t>Blank Cover Plate for Utility Box</t>
  </si>
  <si>
    <t>Closed-Circuit Television System</t>
  </si>
  <si>
    <t>6U Data Cabinet with Power Distribution Unit, Tray, Exhaust Fans and complete accessories</t>
  </si>
  <si>
    <t xml:space="preserve">Panel Board </t>
  </si>
  <si>
    <t>21.7.1</t>
  </si>
  <si>
    <r>
      <rPr>
        <b/>
        <sz val="14"/>
        <rFont val="Calibri"/>
        <family val="2"/>
        <scheme val="minor"/>
      </rPr>
      <t xml:space="preserve">Warehouse MDP (Bolt-on)  </t>
    </r>
    <r>
      <rPr>
        <sz val="14"/>
        <rFont val="Calibri"/>
        <family val="2"/>
        <scheme val="minor"/>
      </rPr>
      <t xml:space="preserve">                                                                                                                                             Main: 150AT 2P MCCB                                                                                                                            
Branch: 6-40AT 2P MCB, 2-30AT 2P MCB, 8-20AT 2P MCB                                                                                                                           Space: 2                                                                                                                                                          
With Busbars and Terminal Lugs Nema-1 Enclosure                                                                                </t>
    </r>
  </si>
  <si>
    <t>Main Feeder Line System</t>
  </si>
  <si>
    <r>
      <t>2" Ø</t>
    </r>
    <r>
      <rPr>
        <sz val="14"/>
        <rFont val="Arial"/>
        <family val="2"/>
      </rPr>
      <t xml:space="preserve"> RSC</t>
    </r>
  </si>
  <si>
    <r>
      <t>2" Ø</t>
    </r>
    <r>
      <rPr>
        <sz val="14"/>
        <rFont val="Arial"/>
        <family val="2"/>
      </rPr>
      <t xml:space="preserve"> PVC</t>
    </r>
  </si>
  <si>
    <r>
      <t>2" Ø</t>
    </r>
    <r>
      <rPr>
        <sz val="14"/>
        <rFont val="Arial"/>
        <family val="2"/>
      </rPr>
      <t xml:space="preserve"> Service Entrance Cap</t>
    </r>
  </si>
  <si>
    <r>
      <t>1" Ø</t>
    </r>
    <r>
      <rPr>
        <sz val="14"/>
        <rFont val="Arial"/>
        <family val="2"/>
      </rPr>
      <t xml:space="preserve"> Service Entrance Cap</t>
    </r>
  </si>
  <si>
    <t>Exhaust Fan</t>
  </si>
  <si>
    <t>Septic Tanks</t>
  </si>
  <si>
    <t>Temporary Facilities, Billboard, and Barricade</t>
  </si>
  <si>
    <t>Bonds,Testings, Permits, and Clearances</t>
  </si>
  <si>
    <t>Demoliton/Removal of Existing Affected Areas (trees, CHB walls, concrete slabs, steel pipes, electrical &amp; plumbing wires, pipes &amp; fixtures, tiles &amp; floor finishes, ceiling boards, roof, c-purlins, door &amp; jamb, window, scraping of old paint etc.)</t>
  </si>
  <si>
    <t>Disposal/Hauling of Debris and Scrap Materials from affected areas</t>
  </si>
  <si>
    <t>Termite Control</t>
  </si>
  <si>
    <t>Location: Villa Lucinda Extension Campus, Tarlac State University</t>
  </si>
  <si>
    <t>Steel Trusses &amp; Portal Beams</t>
  </si>
  <si>
    <t>Masonry Works</t>
  </si>
  <si>
    <t>4.1.1.</t>
  </si>
  <si>
    <t>4.1.2.</t>
  </si>
  <si>
    <t>4.1.3.</t>
  </si>
  <si>
    <t>Roofing Works</t>
  </si>
  <si>
    <t>4.2.1.</t>
  </si>
  <si>
    <t>0.50 mm thick Prepainted Rib Type Roofing</t>
  </si>
  <si>
    <t>4.2.2.</t>
  </si>
  <si>
    <t>0.50 mm  thick Prepainted Roof Flashing and Sheet Gutter</t>
  </si>
  <si>
    <t>4.2.3.</t>
  </si>
  <si>
    <t>10 mm thick Aluminum Fim Laminated Foam  Two Sided w/ 12.5 mm welded wire #21 and Down Spout Strainer including consumables (tekscrew, blind rivets, sealant etc.)</t>
  </si>
  <si>
    <t xml:space="preserve">Parapet Cladding and Gutter </t>
  </si>
  <si>
    <t>4.3.1.</t>
  </si>
  <si>
    <t>4 mm thick Aluminum Composite Panel (Light-gray)</t>
  </si>
  <si>
    <t>4.3.2.</t>
  </si>
  <si>
    <t>Steel Framing including epoxy primer painting and consumables (welding rods, cutting disc, etc.)</t>
  </si>
  <si>
    <t>4.3.3.</t>
  </si>
  <si>
    <t>4.4.1.</t>
  </si>
  <si>
    <t>0.70 m Ø Stainless Steel with TSU Logo and " TSU AMPHITHEATER " Lettering</t>
  </si>
  <si>
    <t>4.4.2.</t>
  </si>
  <si>
    <t>4 mm thick Aluminum Composite Panel (Teracotta and Light-gray)</t>
  </si>
  <si>
    <t>4.4.3.</t>
  </si>
  <si>
    <t>2 mm thick Galvanized Perforated Metal Round Hole Staggered Sheet</t>
  </si>
  <si>
    <t>4.4.4.</t>
  </si>
  <si>
    <t>Façade Cladding</t>
  </si>
  <si>
    <t>4.5.1.</t>
  </si>
  <si>
    <t>4.5.2.</t>
  </si>
  <si>
    <t>4.5.3.</t>
  </si>
  <si>
    <t>4.5.4.</t>
  </si>
  <si>
    <t>4.6.1.</t>
  </si>
  <si>
    <t>12 mm thick Perforated Gypsum Board Ceiling System</t>
  </si>
  <si>
    <t>4.6.2.</t>
  </si>
  <si>
    <t>12 mm thick Gypsum Board Ceiling System</t>
  </si>
  <si>
    <t>4.6.3.</t>
  </si>
  <si>
    <t>4.5 mm thick Fiber Cement Board Ceiling System</t>
  </si>
  <si>
    <t>4.6.4.</t>
  </si>
  <si>
    <t>8 mm thick PVC Ceiling Panel Ceiling System</t>
  </si>
  <si>
    <t>4.6.5.</t>
  </si>
  <si>
    <t>0.5 mm thick Pre-Painted Wood Texture Spandrel including air ventilation holes and mouldings Ceiling System</t>
  </si>
  <si>
    <t>4.7.1.</t>
  </si>
  <si>
    <t>Semi-Gloss Latex Paint Finish on Walls, Columns, Beams, Zocalo etc.</t>
  </si>
  <si>
    <t>4.7.2.</t>
  </si>
  <si>
    <t xml:space="preserve"> Flat Latex Paint Finish on Ceiling</t>
  </si>
  <si>
    <t>Floor Finish</t>
  </si>
  <si>
    <t>4.8.1.</t>
  </si>
  <si>
    <t>200 mm x 1200 mm Glazed Ceramic Floor Tiles including adhesive, grout and topping</t>
  </si>
  <si>
    <t>4.8.2.</t>
  </si>
  <si>
    <t>200 mm x 1200 mm x 3 mm thick Vinyl Tile including adhesive</t>
  </si>
  <si>
    <t>4.8.3.</t>
  </si>
  <si>
    <t>600 mm x 600 mm Non-skid Ceramic Tiles  including adhesive, grout and topping</t>
  </si>
  <si>
    <t>Wall and Countertop Finish</t>
  </si>
  <si>
    <t>4.9.1.</t>
  </si>
  <si>
    <t>300 mm x 600 mm Decorative Border Wall Tiles including adhesive, grout and topping</t>
  </si>
  <si>
    <t>4.9.2.</t>
  </si>
  <si>
    <t>300 mm x 600 mm White Ceramic Wall Tiles including adhesive, grout and topping</t>
  </si>
  <si>
    <t>4.9.3.</t>
  </si>
  <si>
    <t>4.9.4.</t>
  </si>
  <si>
    <t>Acoustic Wall System</t>
  </si>
  <si>
    <t>4.9.5.</t>
  </si>
  <si>
    <t>¾” thick Black Blue Emerald solid granite Countertop (Male and Female Comfort Room)</t>
  </si>
  <si>
    <t>Stair &amp; Ramp Finish and PWD Ramp &amp; CR Railings</t>
  </si>
  <si>
    <t>4.11.</t>
  </si>
  <si>
    <t>Doors and Partitions</t>
  </si>
  <si>
    <t>4.11.1.</t>
  </si>
  <si>
    <t>D1- 12 mm thick tempered glass with frosted decals double panel swing frameless double glass door</t>
  </si>
  <si>
    <t>4.11.2.</t>
  </si>
  <si>
    <t>D2- 12 mm thick tempered glass with frosted decals double panel swing frameless double glass door with transom window</t>
  </si>
  <si>
    <t>4.11.3.</t>
  </si>
  <si>
    <t>D3- single swing mahogany wooden solid panel door</t>
  </si>
  <si>
    <t>4.11.4.</t>
  </si>
  <si>
    <t>D4- single swing tanguile wooden solid panel door</t>
  </si>
  <si>
    <t>4.11.5.</t>
  </si>
  <si>
    <t>D5- single swing tanguile wooden semi-solid panel door</t>
  </si>
  <si>
    <t>4.11.6.</t>
  </si>
  <si>
    <t>Compact Laminated Cubicle Partition w/ Door (D6) and complete accessories</t>
  </si>
  <si>
    <t>4.11.7.</t>
  </si>
  <si>
    <t>D7- single swing tanguile wooden solid panel door</t>
  </si>
  <si>
    <t>4.11.8.</t>
  </si>
  <si>
    <t>D8- single swing tanguile wooden semi-solid panel door</t>
  </si>
  <si>
    <t>4.12.1.</t>
  </si>
  <si>
    <t xml:space="preserve">W1-white powder coated aluminum fixed window with one way reflective (exterior) 12 mm thick tempered reflective bronze glass </t>
  </si>
  <si>
    <t>4.12.2.</t>
  </si>
  <si>
    <t xml:space="preserve">W2- white powder coated aluminum awning window with one way reflective (exterior) 6mm thick reflective bronze glass </t>
  </si>
  <si>
    <t>4.12.3</t>
  </si>
  <si>
    <t xml:space="preserve">W3- white powder coated aluminum awning window with one way reflective (exterior) 6 mm thick reflective bronze glass </t>
  </si>
  <si>
    <t>4.12.4.</t>
  </si>
  <si>
    <t xml:space="preserve">W4 -white powder coated aluminum awning window with one way reflective (exterior) 6 mm thick reflective bronze glass </t>
  </si>
  <si>
    <t>4.12.5.</t>
  </si>
  <si>
    <t xml:space="preserve">W5 -white powder coated aluminum awning window with one way reflective (exterior) 6mm thick reflective bronze glass </t>
  </si>
  <si>
    <t>4.12.6.</t>
  </si>
  <si>
    <t xml:space="preserve">W6 -white powder coated aluminum awning window with one way reflective (exterior) 6 mm thick reflective bronze glass </t>
  </si>
  <si>
    <t>4.12.7.</t>
  </si>
  <si>
    <t xml:space="preserve">W7 -white powder coated aluminum fixed corner window with one way reflective (exterior) 6 mm thick reflective bronze glass </t>
  </si>
  <si>
    <t>4.13.</t>
  </si>
  <si>
    <t>5.10.</t>
  </si>
  <si>
    <t>Exhaust Fan, 10", Ceiling Mounted</t>
  </si>
  <si>
    <t>Sanitary Pipes System</t>
  </si>
  <si>
    <t>Stormdrain and Indirect Waste Pipes System</t>
  </si>
  <si>
    <t>Water Distribution Supply System</t>
  </si>
  <si>
    <t>1.0 m x 0.60 m x 6.0 mm Beveled Edge Lead Free Mirror</t>
  </si>
  <si>
    <t>100 mm x 200 mm x 5 mm thick Stainless Dressing Room and Rest Room Signages   (Men and Women)</t>
  </si>
  <si>
    <t>210 mm x 180 mm x 5 mm thick high-grade aluminum alloy frame toilet signage (All Gender PWD Restroom)</t>
  </si>
  <si>
    <t>250 mm x 400 mm Fire Exit Signages (Glow in the Dark)</t>
  </si>
  <si>
    <t>200 mm x 300 mm Entrance/Exit Signages (Glow in the Dark)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</si>
</sst>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quot;₱&quot;* #,##0.00_-;\-&quot;₱&quot;* #,##0.00_-;_-&quot;₱&quot;* &quot;-&quot;??_-;_-@_-"/>
    <numFmt numFmtId="165" formatCode="_-* #,##0.00_-;\-* #,##0.00_-;_-* &quot;-&quot;??_-;_-@_-"/>
    <numFmt numFmtId="166" formatCode="_(&quot;$&quot;* #,##0.00_);_(&quot;$&quot;* \(#,##0.00\);_(&quot;$&quot;* &quot;-&quot;??_);_(@_)"/>
    <numFmt numFmtId="167" formatCode="_ * #,##0.00_ ;_ * \-#,##0.00_ ;_ * &quot;-&quot;??_ ;_ @_ "/>
    <numFmt numFmtId="168" formatCode="_([$PHP]\ * #,##0.00_);_([$PHP]\ * \(#,##0.00\);_([$PHP]\ * &quot;-&quot;??_);_(@_)"/>
    <numFmt numFmtId="169" formatCode="0.0"/>
    <numFmt numFmtId="170" formatCode="0.000"/>
    <numFmt numFmtId="171" formatCode="#."/>
    <numFmt numFmtId="172" formatCode="#.#."/>
    <numFmt numFmtId="173" formatCode="#.00."/>
  </numFmts>
  <fonts count="91" x14ac:knownFonts="1">
    <font>
      <sz val="10"/>
      <name val="Arial"/>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4"/>
      <name val="Calibri"/>
      <family val="2"/>
      <scheme val="minor"/>
    </font>
    <font>
      <b/>
      <sz val="14"/>
      <name val="Calibri"/>
      <family val="2"/>
      <scheme val="minor"/>
    </font>
    <font>
      <b/>
      <i/>
      <sz val="14"/>
      <name val="Calibri"/>
      <family val="2"/>
      <scheme val="minor"/>
    </font>
    <font>
      <i/>
      <sz val="14"/>
      <name val="Calibri"/>
      <family val="2"/>
      <scheme val="minor"/>
    </font>
    <font>
      <sz val="12"/>
      <name val="Times New Roman"/>
      <family val="1"/>
      <charset val="134"/>
    </font>
    <font>
      <sz val="11"/>
      <color indexed="8"/>
      <name val="Arial"/>
      <family val="2"/>
      <charset val="134"/>
    </font>
    <font>
      <b/>
      <sz val="11"/>
      <color indexed="8"/>
      <name val="Arial"/>
      <family val="2"/>
      <charset val="134"/>
    </font>
    <font>
      <b/>
      <u/>
      <sz val="11"/>
      <color indexed="8"/>
      <name val="Arial"/>
      <family val="2"/>
      <charset val="134"/>
    </font>
    <font>
      <sz val="11"/>
      <color indexed="8"/>
      <name val="Arial"/>
      <family val="2"/>
    </font>
    <font>
      <b/>
      <i/>
      <sz val="11"/>
      <color indexed="8"/>
      <name val="Arial"/>
      <family val="2"/>
      <charset val="134"/>
    </font>
    <font>
      <b/>
      <sz val="12"/>
      <color indexed="8"/>
      <name val="Arial"/>
      <family val="2"/>
      <charset val="134"/>
    </font>
    <font>
      <sz val="12"/>
      <color indexed="8"/>
      <name val="Arial"/>
      <family val="2"/>
      <charset val="134"/>
    </font>
    <font>
      <sz val="12"/>
      <color indexed="8"/>
      <name val="Arial"/>
      <family val="2"/>
    </font>
    <font>
      <b/>
      <sz val="12"/>
      <color indexed="8"/>
      <name val="Arial"/>
      <family val="2"/>
    </font>
    <font>
      <u/>
      <sz val="12"/>
      <color indexed="8"/>
      <name val="Arial"/>
      <family val="2"/>
      <charset val="134"/>
    </font>
    <font>
      <b/>
      <i/>
      <sz val="12"/>
      <color indexed="8"/>
      <name val="Arial"/>
      <family val="2"/>
      <charset val="134"/>
    </font>
    <font>
      <i/>
      <sz val="12"/>
      <color indexed="8"/>
      <name val="Arial"/>
      <family val="2"/>
    </font>
    <font>
      <b/>
      <sz val="11"/>
      <color indexed="8"/>
      <name val="Arial"/>
      <family val="2"/>
    </font>
    <font>
      <i/>
      <sz val="11"/>
      <color indexed="8"/>
      <name val="Arial"/>
      <family val="2"/>
    </font>
    <font>
      <b/>
      <sz val="10"/>
      <name val="Arial"/>
      <family val="2"/>
    </font>
    <font>
      <sz val="14"/>
      <name val="Calibri"/>
      <family val="2"/>
    </font>
    <font>
      <sz val="9.8000000000000007"/>
      <name val="Calibri"/>
      <family val="2"/>
    </font>
    <font>
      <sz val="14"/>
      <color rgb="FFFF0000"/>
      <name val="Calibri"/>
      <family val="2"/>
      <scheme val="minor"/>
    </font>
    <font>
      <sz val="14"/>
      <color rgb="FFFF0000"/>
      <name val="Calibri"/>
      <family val="2"/>
    </font>
    <font>
      <sz val="10"/>
      <name val="Arial"/>
      <family val="2"/>
    </font>
    <font>
      <b/>
      <sz val="14"/>
      <name val="Cambria"/>
      <family val="1"/>
      <scheme val="major"/>
    </font>
    <font>
      <sz val="14"/>
      <name val="Cambria"/>
      <family val="1"/>
      <scheme val="major"/>
    </font>
    <font>
      <b/>
      <i/>
      <sz val="14"/>
      <name val="Cambria"/>
      <family val="1"/>
      <scheme val="major"/>
    </font>
    <font>
      <b/>
      <sz val="16"/>
      <name val="Cambria"/>
      <family val="1"/>
      <scheme val="major"/>
    </font>
    <font>
      <sz val="14"/>
      <color theme="1"/>
      <name val="Calibri Light"/>
      <family val="2"/>
    </font>
    <font>
      <sz val="14"/>
      <name val="Calibri Light"/>
      <family val="2"/>
    </font>
    <font>
      <b/>
      <sz val="14"/>
      <name val="Calibri Light"/>
      <family val="2"/>
    </font>
    <font>
      <b/>
      <i/>
      <sz val="14"/>
      <name val="Calibri Light"/>
      <family val="2"/>
    </font>
    <font>
      <sz val="10"/>
      <name val="Calibri Light"/>
      <family val="2"/>
    </font>
    <font>
      <sz val="16"/>
      <name val="Calibri Light"/>
      <family val="2"/>
    </font>
    <font>
      <b/>
      <sz val="16"/>
      <name val="Calibri Light"/>
      <family val="2"/>
    </font>
    <font>
      <b/>
      <sz val="14"/>
      <color theme="1"/>
      <name val="Calibri Light"/>
      <family val="2"/>
    </font>
    <font>
      <sz val="15"/>
      <name val="Calibri"/>
      <family val="2"/>
      <scheme val="minor"/>
    </font>
    <font>
      <b/>
      <sz val="15"/>
      <name val="Calibri"/>
      <family val="2"/>
      <scheme val="minor"/>
    </font>
    <font>
      <b/>
      <sz val="14"/>
      <color theme="1"/>
      <name val="Calibri"/>
      <family val="2"/>
      <scheme val="minor"/>
    </font>
    <font>
      <sz val="14"/>
      <color theme="1"/>
      <name val="Calibri"/>
      <family val="2"/>
      <scheme val="minor"/>
    </font>
    <font>
      <sz val="14"/>
      <color theme="1"/>
      <name val="Calibri"/>
      <family val="2"/>
    </font>
    <font>
      <sz val="14"/>
      <name val="Arial"/>
      <family val="2"/>
    </font>
    <font>
      <b/>
      <sz val="14"/>
      <name val="Calibri"/>
      <family val="2"/>
    </font>
    <font>
      <b/>
      <sz val="16"/>
      <color theme="1"/>
      <name val="Calibri Light"/>
      <family val="2"/>
    </font>
    <font>
      <b/>
      <i/>
      <sz val="16"/>
      <name val="Calibri Light"/>
      <family val="2"/>
    </font>
    <font>
      <i/>
      <sz val="16"/>
      <name val="Calibri Light"/>
      <family val="2"/>
    </font>
    <font>
      <sz val="16"/>
      <color rgb="FF000000"/>
      <name val="Calibri Light"/>
      <family val="2"/>
    </font>
    <font>
      <sz val="16"/>
      <name val="Cambria"/>
      <family val="1"/>
      <scheme val="major"/>
    </font>
    <font>
      <b/>
      <sz val="16"/>
      <name val="Calibri"/>
      <family val="2"/>
    </font>
    <font>
      <sz val="8"/>
      <name val="Arial"/>
      <family val="2"/>
    </font>
    <font>
      <sz val="12"/>
      <color theme="1"/>
      <name val="Calibri"/>
      <family val="2"/>
      <charset val="204"/>
      <scheme val="minor"/>
    </font>
    <font>
      <sz val="11"/>
      <color theme="1"/>
      <name val="Times New Roman"/>
      <family val="2"/>
    </font>
    <font>
      <i/>
      <sz val="16"/>
      <color theme="1"/>
      <name val="Calibri Light"/>
      <family val="2"/>
    </font>
    <font>
      <sz val="10"/>
      <color rgb="FFFF0000"/>
      <name val="Arial"/>
      <family val="2"/>
    </font>
    <font>
      <sz val="16"/>
      <name val="Arial"/>
      <family val="2"/>
    </font>
    <font>
      <b/>
      <sz val="16"/>
      <color theme="1"/>
      <name val="Calibri"/>
      <family val="2"/>
    </font>
    <font>
      <b/>
      <sz val="11"/>
      <color theme="1"/>
      <name val="Calibri"/>
      <family val="2"/>
      <scheme val="minor"/>
    </font>
    <font>
      <sz val="20"/>
      <name val="Arial"/>
      <family val="2"/>
    </font>
    <font>
      <i/>
      <sz val="20"/>
      <name val="Arial"/>
      <family val="2"/>
    </font>
    <font>
      <sz val="12"/>
      <name val="Times New Roman"/>
      <family val="1"/>
    </font>
    <font>
      <i/>
      <sz val="12"/>
      <name val="Times New Roman"/>
      <family val="1"/>
    </font>
    <font>
      <sz val="11"/>
      <name val="Calibri"/>
      <family val="2"/>
      <scheme val="minor"/>
    </font>
    <font>
      <sz val="12"/>
      <color rgb="FFC00000"/>
      <name val="Times New Roman"/>
      <family val="1"/>
    </font>
    <font>
      <b/>
      <sz val="11"/>
      <name val="Calibri"/>
      <family val="2"/>
      <scheme val="minor"/>
    </font>
    <font>
      <sz val="8"/>
      <color theme="1"/>
      <name val="Calibri"/>
      <family val="2"/>
      <scheme val="minor"/>
    </font>
    <font>
      <i/>
      <sz val="11"/>
      <color theme="1"/>
      <name val="Calibri"/>
      <family val="2"/>
      <scheme val="minor"/>
    </font>
    <font>
      <i/>
      <sz val="14"/>
      <color theme="1"/>
      <name val="Calibri"/>
      <family val="2"/>
      <scheme val="minor"/>
    </font>
    <font>
      <i/>
      <sz val="11"/>
      <name val="Calibri"/>
      <family val="2"/>
      <scheme val="minor"/>
    </font>
    <font>
      <sz val="11"/>
      <name val="Times New Roman"/>
      <family val="1"/>
    </font>
    <font>
      <sz val="14"/>
      <color theme="1"/>
      <name val="Cambria"/>
      <family val="1"/>
      <scheme val="major"/>
    </font>
    <font>
      <sz val="16"/>
      <name val="Calibri"/>
      <family val="2"/>
      <scheme val="minor"/>
    </font>
    <font>
      <sz val="16"/>
      <color theme="1"/>
      <name val="Calibri Light"/>
      <family val="2"/>
    </font>
    <font>
      <sz val="16"/>
      <name val="Calibri"/>
      <family val="2"/>
    </font>
    <font>
      <sz val="16"/>
      <color theme="1"/>
      <name val="Calibri"/>
      <family val="2"/>
    </font>
    <font>
      <b/>
      <i/>
      <sz val="16"/>
      <color theme="1"/>
      <name val="Calibri"/>
      <family val="2"/>
    </font>
    <font>
      <b/>
      <sz val="16"/>
      <name val="Calibri"/>
      <family val="2"/>
      <scheme val="minor"/>
    </font>
    <font>
      <sz val="16"/>
      <color theme="1"/>
      <name val="Calibri"/>
      <family val="2"/>
      <scheme val="minor"/>
    </font>
    <font>
      <b/>
      <sz val="12"/>
      <color theme="1"/>
      <name val="Calibri"/>
      <family val="2"/>
      <scheme val="minor"/>
    </font>
    <font>
      <sz val="12"/>
      <color theme="1"/>
      <name val="Calibri"/>
      <family val="2"/>
      <scheme val="minor"/>
    </font>
    <font>
      <sz val="12"/>
      <color theme="1"/>
      <name val="Calibri"/>
      <family val="2"/>
    </font>
    <font>
      <b/>
      <sz val="14"/>
      <color theme="1"/>
      <name val="Calibri"/>
      <family val="2"/>
    </font>
  </fonts>
  <fills count="1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rgb="FF34FB19"/>
        <bgColor indexed="64"/>
      </patternFill>
    </fill>
    <fill>
      <patternFill patternType="solid">
        <fgColor rgb="FF30C4F8"/>
        <bgColor indexed="64"/>
      </patternFill>
    </fill>
    <fill>
      <patternFill patternType="solid">
        <fgColor rgb="FFFA7A8C"/>
        <bgColor indexed="64"/>
      </patternFill>
    </fill>
    <fill>
      <patternFill patternType="solid">
        <fgColor rgb="FFC00000"/>
        <bgColor indexed="64"/>
      </patternFill>
    </fill>
    <fill>
      <patternFill patternType="solid">
        <fgColor rgb="FF0070C0"/>
        <bgColor indexed="64"/>
      </patternFill>
    </fill>
    <fill>
      <patternFill patternType="solid">
        <fgColor rgb="FF00B050"/>
        <bgColor indexed="64"/>
      </patternFill>
    </fill>
    <fill>
      <patternFill patternType="solid">
        <fgColor rgb="FF92D050"/>
        <bgColor rgb="FF92D050"/>
      </patternFill>
    </fill>
    <fill>
      <patternFill patternType="solid">
        <fgColor rgb="FFFFFF00"/>
        <bgColor rgb="FFFFFF00"/>
      </patternFill>
    </fill>
    <fill>
      <patternFill patternType="solid">
        <fgColor rgb="FFFFC000"/>
        <bgColor rgb="FFFFC000"/>
      </patternFill>
    </fill>
    <fill>
      <patternFill patternType="solid">
        <fgColor theme="0"/>
        <bgColor theme="0"/>
      </patternFill>
    </fill>
    <fill>
      <patternFill patternType="solid">
        <fgColor theme="0" tint="-0.14999847407452621"/>
        <bgColor indexed="64"/>
      </patternFill>
    </fill>
    <fill>
      <patternFill patternType="solid">
        <fgColor theme="0" tint="-0.34998626667073579"/>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right style="thin">
        <color indexed="8"/>
      </right>
      <top/>
      <bottom/>
      <diagonal/>
    </border>
    <border>
      <left style="thin">
        <color indexed="8"/>
      </left>
      <right/>
      <top/>
      <bottom/>
      <diagonal/>
    </border>
    <border>
      <left/>
      <right style="thin">
        <color indexed="8"/>
      </right>
      <top style="thin">
        <color indexed="8"/>
      </top>
      <bottom/>
      <diagonal/>
    </border>
    <border>
      <left style="thin">
        <color indexed="8"/>
      </left>
      <right/>
      <top style="thin">
        <color indexed="8"/>
      </top>
      <bottom/>
      <diagonal/>
    </border>
    <border>
      <left/>
      <right/>
      <top/>
      <bottom style="medium">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auto="1"/>
      </right>
      <top/>
      <bottom/>
      <diagonal/>
    </border>
    <border>
      <left/>
      <right style="medium">
        <color auto="1"/>
      </right>
      <top/>
      <bottom style="medium">
        <color auto="1"/>
      </bottom>
      <diagonal/>
    </border>
    <border>
      <left/>
      <right/>
      <top/>
      <bottom style="medium">
        <color auto="1"/>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29">
    <xf numFmtId="0" fontId="0" fillId="0" borderId="0"/>
    <xf numFmtId="43" fontId="8" fillId="0" borderId="0" applyFont="0" applyFill="0" applyBorder="0" applyAlignment="0" applyProtection="0"/>
    <xf numFmtId="0" fontId="13" fillId="0" borderId="0">
      <alignment vertical="center"/>
    </xf>
    <xf numFmtId="167" fontId="13" fillId="0" borderId="0" applyFont="0" applyFill="0" applyBorder="0" applyAlignment="0" applyProtection="0">
      <alignment vertical="center"/>
    </xf>
    <xf numFmtId="0" fontId="8" fillId="0" borderId="0"/>
    <xf numFmtId="166" fontId="33" fillId="0" borderId="0" applyFont="0" applyFill="0" applyBorder="0" applyAlignment="0" applyProtection="0"/>
    <xf numFmtId="166" fontId="8" fillId="0" borderId="0" applyFont="0" applyFill="0" applyBorder="0" applyAlignment="0" applyProtection="0"/>
    <xf numFmtId="0" fontId="7" fillId="0" borderId="0"/>
    <xf numFmtId="165" fontId="7" fillId="0" borderId="0" applyFont="0" applyFill="0" applyBorder="0" applyAlignment="0" applyProtection="0"/>
    <xf numFmtId="0" fontId="6" fillId="0" borderId="0"/>
    <xf numFmtId="0" fontId="5" fillId="0" borderId="0"/>
    <xf numFmtId="0" fontId="60" fillId="0" borderId="0"/>
    <xf numFmtId="165" fontId="60" fillId="0" borderId="0" applyFont="0" applyFill="0" applyBorder="0" applyAlignment="0" applyProtection="0"/>
    <xf numFmtId="165" fontId="60" fillId="0" borderId="0" applyFont="0" applyFill="0" applyBorder="0" applyAlignment="0" applyProtection="0"/>
    <xf numFmtId="0" fontId="4" fillId="0" borderId="0"/>
    <xf numFmtId="165" fontId="4" fillId="0" borderId="0" applyFont="0" applyFill="0" applyBorder="0" applyAlignment="0" applyProtection="0"/>
    <xf numFmtId="0" fontId="61" fillId="0" borderId="0"/>
    <xf numFmtId="165" fontId="61"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165" fontId="8" fillId="0" borderId="0" applyFont="0" applyFill="0" applyBorder="0" applyAlignment="0" applyProtection="0"/>
    <xf numFmtId="0" fontId="61" fillId="0" borderId="0"/>
    <xf numFmtId="0" fontId="8" fillId="0" borderId="0"/>
    <xf numFmtId="0" fontId="4" fillId="0" borderId="0"/>
    <xf numFmtId="0" fontId="4" fillId="0" borderId="0"/>
    <xf numFmtId="9" fontId="60" fillId="0" borderId="0" applyFont="0" applyFill="0" applyBorder="0" applyAlignment="0" applyProtection="0"/>
    <xf numFmtId="0" fontId="3" fillId="0" borderId="0"/>
    <xf numFmtId="165" fontId="3" fillId="0" borderId="0" applyFont="0" applyFill="0" applyBorder="0" applyAlignment="0" applyProtection="0"/>
    <xf numFmtId="0" fontId="3" fillId="0" borderId="0"/>
  </cellStyleXfs>
  <cellXfs count="950">
    <xf numFmtId="0" fontId="0" fillId="0" borderId="0" xfId="0"/>
    <xf numFmtId="2" fontId="9" fillId="0" borderId="1" xfId="0" applyNumberFormat="1" applyFont="1" applyBorder="1" applyAlignment="1">
      <alignment horizontal="center" vertical="center"/>
    </xf>
    <xf numFmtId="0" fontId="9" fillId="0" borderId="0" xfId="0" applyFont="1"/>
    <xf numFmtId="0" fontId="9" fillId="0" borderId="0" xfId="0" applyFont="1" applyAlignment="1">
      <alignment horizontal="center"/>
    </xf>
    <xf numFmtId="4" fontId="9" fillId="0" borderId="0" xfId="0" applyNumberFormat="1" applyFont="1"/>
    <xf numFmtId="0" fontId="9" fillId="0" borderId="0" xfId="0" applyFont="1" applyAlignment="1">
      <alignment horizontal="center" vertical="center"/>
    </xf>
    <xf numFmtId="0" fontId="9" fillId="0" borderId="0" xfId="0" applyFont="1" applyAlignment="1">
      <alignment vertical="center"/>
    </xf>
    <xf numFmtId="2" fontId="9" fillId="0" borderId="0" xfId="0" applyNumberFormat="1" applyFont="1" applyAlignment="1">
      <alignment horizontal="center"/>
    </xf>
    <xf numFmtId="2" fontId="9" fillId="0" borderId="0" xfId="0" applyNumberFormat="1" applyFont="1"/>
    <xf numFmtId="14" fontId="9" fillId="0" borderId="0" xfId="0" applyNumberFormat="1" applyFont="1"/>
    <xf numFmtId="0" fontId="10" fillId="0" borderId="0" xfId="0" applyFont="1" applyAlignment="1">
      <alignment horizontal="left"/>
    </xf>
    <xf numFmtId="0" fontId="10" fillId="0" borderId="0" xfId="0" applyFont="1"/>
    <xf numFmtId="0" fontId="11" fillId="0" borderId="0" xfId="0" applyFont="1" applyAlignment="1">
      <alignment horizontal="center"/>
    </xf>
    <xf numFmtId="4" fontId="11" fillId="0" borderId="0" xfId="0" applyNumberFormat="1" applyFont="1"/>
    <xf numFmtId="0" fontId="11" fillId="0" borderId="0" xfId="0" applyFont="1"/>
    <xf numFmtId="4" fontId="10" fillId="0" borderId="0" xfId="0" applyNumberFormat="1" applyFont="1"/>
    <xf numFmtId="0" fontId="12" fillId="0" borderId="0" xfId="0" applyFont="1"/>
    <xf numFmtId="0" fontId="14" fillId="0" borderId="0" xfId="2" applyFont="1">
      <alignment vertical="center"/>
    </xf>
    <xf numFmtId="0" fontId="16" fillId="0" borderId="0" xfId="2" applyFont="1">
      <alignment vertical="center"/>
    </xf>
    <xf numFmtId="0" fontId="17" fillId="0" borderId="0" xfId="2" applyFont="1">
      <alignment vertical="center"/>
    </xf>
    <xf numFmtId="4" fontId="14" fillId="0" borderId="0" xfId="2" applyNumberFormat="1" applyFont="1">
      <alignment vertical="center"/>
    </xf>
    <xf numFmtId="0" fontId="14" fillId="0" borderId="0" xfId="2" applyFont="1" applyAlignment="1">
      <alignment horizontal="right" vertical="center"/>
    </xf>
    <xf numFmtId="0" fontId="18" fillId="0" borderId="0" xfId="2" applyFont="1">
      <alignment vertical="center"/>
    </xf>
    <xf numFmtId="0" fontId="14" fillId="0" borderId="0" xfId="2" applyFont="1" applyAlignment="1">
      <alignment horizontal="center" vertical="center"/>
    </xf>
    <xf numFmtId="0" fontId="18" fillId="0" borderId="0" xfId="2" applyFont="1" applyAlignment="1">
      <alignment horizontal="center" vertical="center"/>
    </xf>
    <xf numFmtId="0" fontId="15" fillId="0" borderId="0" xfId="2" applyFont="1">
      <alignment vertical="center"/>
    </xf>
    <xf numFmtId="15" fontId="16" fillId="0" borderId="0" xfId="2" applyNumberFormat="1" applyFont="1">
      <alignment vertical="center"/>
    </xf>
    <xf numFmtId="0" fontId="17" fillId="0" borderId="0" xfId="2" applyFont="1" applyAlignment="1">
      <alignment horizontal="left" vertical="center"/>
    </xf>
    <xf numFmtId="0" fontId="14" fillId="0" borderId="0" xfId="2" applyFont="1" applyAlignment="1">
      <alignment horizontal="left" vertical="center"/>
    </xf>
    <xf numFmtId="0" fontId="20" fillId="0" borderId="0" xfId="2" applyFont="1">
      <alignment vertical="center"/>
    </xf>
    <xf numFmtId="0" fontId="21" fillId="0" borderId="0" xfId="2" applyFont="1">
      <alignment vertical="center"/>
    </xf>
    <xf numFmtId="0" fontId="20" fillId="0" borderId="0" xfId="2" applyFont="1" applyAlignment="1">
      <alignment horizontal="left" vertical="center"/>
    </xf>
    <xf numFmtId="0" fontId="20" fillId="0" borderId="0" xfId="2" applyFont="1" applyAlignment="1">
      <alignment horizontal="right" vertical="center"/>
    </xf>
    <xf numFmtId="0" fontId="20" fillId="0" borderId="0" xfId="2" applyFont="1" applyAlignment="1">
      <alignment horizontal="left" vertical="top"/>
    </xf>
    <xf numFmtId="0" fontId="19" fillId="0" borderId="0" xfId="2" applyFont="1">
      <alignment vertical="center"/>
    </xf>
    <xf numFmtId="0" fontId="23" fillId="0" borderId="0" xfId="2" applyFont="1">
      <alignment vertical="center"/>
    </xf>
    <xf numFmtId="0" fontId="24" fillId="0" borderId="0" xfId="2" applyFont="1">
      <alignment vertical="center"/>
    </xf>
    <xf numFmtId="0" fontId="25" fillId="0" borderId="0" xfId="2" applyFont="1">
      <alignment vertical="center"/>
    </xf>
    <xf numFmtId="0" fontId="24" fillId="0" borderId="0" xfId="2" applyFont="1" applyAlignment="1">
      <alignment horizontal="center" vertical="center"/>
    </xf>
    <xf numFmtId="0" fontId="20" fillId="0" borderId="0" xfId="2" applyFont="1" applyAlignment="1">
      <alignment horizontal="center" vertical="center"/>
    </xf>
    <xf numFmtId="0" fontId="20" fillId="0" borderId="1" xfId="2" applyFont="1" applyBorder="1">
      <alignment vertical="center"/>
    </xf>
    <xf numFmtId="0" fontId="24" fillId="0" borderId="0" xfId="2" applyFont="1" applyAlignment="1">
      <alignment horizontal="right" vertical="center"/>
    </xf>
    <xf numFmtId="0" fontId="13" fillId="0" borderId="0" xfId="2">
      <alignment vertical="center"/>
    </xf>
    <xf numFmtId="0" fontId="14" fillId="0" borderId="14" xfId="2" applyFont="1" applyBorder="1">
      <alignment vertical="center"/>
    </xf>
    <xf numFmtId="0" fontId="15" fillId="0" borderId="14" xfId="2" applyFont="1" applyBorder="1">
      <alignment vertical="center"/>
    </xf>
    <xf numFmtId="0" fontId="19" fillId="0" borderId="0" xfId="2" applyFont="1" applyAlignment="1">
      <alignment horizontal="left" vertical="center"/>
    </xf>
    <xf numFmtId="0" fontId="9" fillId="0" borderId="0" xfId="0" applyFont="1" applyAlignment="1">
      <alignment horizontal="left"/>
    </xf>
    <xf numFmtId="0" fontId="14" fillId="0" borderId="7" xfId="2" applyFont="1" applyBorder="1">
      <alignment vertical="center"/>
    </xf>
    <xf numFmtId="0" fontId="14" fillId="0" borderId="6" xfId="2" applyFont="1" applyBorder="1">
      <alignment vertical="center"/>
    </xf>
    <xf numFmtId="0" fontId="15" fillId="0" borderId="0" xfId="2" applyFont="1" applyAlignment="1">
      <alignment horizontal="left" vertical="center"/>
    </xf>
    <xf numFmtId="0" fontId="22" fillId="0" borderId="0" xfId="2" applyFont="1">
      <alignment vertical="center"/>
    </xf>
    <xf numFmtId="0" fontId="27" fillId="0" borderId="0" xfId="2" applyFont="1" applyAlignment="1">
      <alignment horizontal="left" vertical="center"/>
    </xf>
    <xf numFmtId="2" fontId="14" fillId="0" borderId="0" xfId="2" applyNumberFormat="1" applyFont="1">
      <alignment vertical="center"/>
    </xf>
    <xf numFmtId="2" fontId="9" fillId="0" borderId="1" xfId="0" applyNumberFormat="1" applyFont="1" applyBorder="1" applyAlignment="1">
      <alignment vertical="center" wrapText="1"/>
    </xf>
    <xf numFmtId="4" fontId="9" fillId="0" borderId="1" xfId="1" applyNumberFormat="1" applyFont="1" applyFill="1" applyBorder="1" applyAlignment="1">
      <alignment horizontal="right" vertical="center" indent="1"/>
    </xf>
    <xf numFmtId="2" fontId="10" fillId="0" borderId="1" xfId="0" applyNumberFormat="1" applyFont="1" applyBorder="1" applyAlignment="1">
      <alignment vertical="center"/>
    </xf>
    <xf numFmtId="2" fontId="9" fillId="0" borderId="1" xfId="0" applyNumberFormat="1" applyFont="1" applyBorder="1" applyAlignment="1">
      <alignment horizontal="left" vertical="center" wrapText="1"/>
    </xf>
    <xf numFmtId="2" fontId="10" fillId="0" borderId="1" xfId="0" applyNumberFormat="1" applyFont="1" applyBorder="1" applyAlignment="1">
      <alignment vertical="center" wrapText="1"/>
    </xf>
    <xf numFmtId="4" fontId="12" fillId="0" borderId="0" xfId="0" applyNumberFormat="1" applyFont="1"/>
    <xf numFmtId="0" fontId="0" fillId="0" borderId="0" xfId="0" applyAlignment="1">
      <alignment horizontal="center"/>
    </xf>
    <xf numFmtId="0" fontId="28" fillId="0" borderId="0" xfId="0" applyFont="1"/>
    <xf numFmtId="0" fontId="8" fillId="0" borderId="0" xfId="0" applyFont="1"/>
    <xf numFmtId="0" fontId="8" fillId="2" borderId="0" xfId="0" applyFont="1" applyFill="1"/>
    <xf numFmtId="0" fontId="0" fillId="2" borderId="0" xfId="0" applyFill="1"/>
    <xf numFmtId="0" fontId="0" fillId="2" borderId="0" xfId="0" applyFill="1" applyAlignment="1">
      <alignment horizontal="center"/>
    </xf>
    <xf numFmtId="0" fontId="8" fillId="0" borderId="0" xfId="0" applyFont="1" applyAlignment="1">
      <alignment horizontal="center"/>
    </xf>
    <xf numFmtId="2" fontId="10" fillId="0" borderId="1" xfId="0" applyNumberFormat="1" applyFont="1" applyBorder="1" applyAlignment="1">
      <alignment horizontal="left" vertical="center"/>
    </xf>
    <xf numFmtId="2" fontId="9" fillId="0" borderId="1" xfId="0" applyNumberFormat="1" applyFont="1" applyBorder="1" applyAlignment="1">
      <alignment horizontal="left" vertical="center"/>
    </xf>
    <xf numFmtId="2" fontId="9" fillId="0" borderId="1" xfId="0" applyNumberFormat="1" applyFont="1" applyBorder="1" applyAlignment="1">
      <alignment horizontal="center" vertical="center" wrapText="1"/>
    </xf>
    <xf numFmtId="4" fontId="9" fillId="0" borderId="1" xfId="1" applyNumberFormat="1" applyFont="1" applyFill="1" applyBorder="1" applyAlignment="1">
      <alignment horizontal="right" vertical="center" indent="2"/>
    </xf>
    <xf numFmtId="4" fontId="9" fillId="0" borderId="1" xfId="0" applyNumberFormat="1" applyFont="1" applyBorder="1" applyAlignment="1">
      <alignment horizontal="right" vertical="center" wrapText="1" indent="1"/>
    </xf>
    <xf numFmtId="2" fontId="9" fillId="0" borderId="1" xfId="0" applyNumberFormat="1" applyFont="1" applyBorder="1" applyAlignment="1">
      <alignment horizontal="left" vertical="center" indent="1"/>
    </xf>
    <xf numFmtId="4" fontId="10" fillId="0" borderId="0" xfId="0" applyNumberFormat="1" applyFont="1" applyAlignment="1">
      <alignment horizontal="right" vertical="center"/>
    </xf>
    <xf numFmtId="4" fontId="9" fillId="0" borderId="1" xfId="0" applyNumberFormat="1" applyFont="1" applyBorder="1" applyAlignment="1">
      <alignment horizontal="right" vertical="center" wrapText="1" indent="2"/>
    </xf>
    <xf numFmtId="1" fontId="9" fillId="0" borderId="1" xfId="0" applyNumberFormat="1" applyFont="1" applyBorder="1" applyAlignment="1">
      <alignment horizontal="center" vertical="center" wrapText="1"/>
    </xf>
    <xf numFmtId="4" fontId="9" fillId="0" borderId="0" xfId="0" applyNumberFormat="1" applyFont="1" applyAlignment="1">
      <alignment horizontal="center" vertical="center"/>
    </xf>
    <xf numFmtId="2" fontId="9" fillId="0" borderId="1" xfId="0" applyNumberFormat="1" applyFont="1" applyBorder="1" applyAlignment="1">
      <alignment horizontal="left" vertical="center" wrapText="1" indent="1"/>
    </xf>
    <xf numFmtId="0" fontId="9" fillId="0" borderId="1" xfId="0" applyFont="1" applyBorder="1" applyAlignment="1">
      <alignment horizontal="left" vertical="center" indent="1"/>
    </xf>
    <xf numFmtId="0" fontId="9" fillId="0" borderId="0" xfId="0" applyFont="1" applyAlignment="1">
      <alignment horizontal="left" vertical="center" indent="1"/>
    </xf>
    <xf numFmtId="4" fontId="10" fillId="0" borderId="0" xfId="0" applyNumberFormat="1" applyFont="1" applyAlignment="1">
      <alignment vertical="center"/>
    </xf>
    <xf numFmtId="4" fontId="11" fillId="0" borderId="1" xfId="1" applyNumberFormat="1" applyFont="1" applyFill="1" applyBorder="1" applyAlignment="1">
      <alignment horizontal="right" vertical="center" indent="1"/>
    </xf>
    <xf numFmtId="4" fontId="11" fillId="0" borderId="1" xfId="1" applyNumberFormat="1" applyFont="1" applyFill="1" applyBorder="1" applyAlignment="1">
      <alignment horizontal="right" vertical="center" indent="2"/>
    </xf>
    <xf numFmtId="4" fontId="11" fillId="0" borderId="1" xfId="0" applyNumberFormat="1" applyFont="1" applyBorder="1" applyAlignment="1">
      <alignment horizontal="right" vertical="center" wrapText="1" indent="1"/>
    </xf>
    <xf numFmtId="4" fontId="10" fillId="0" borderId="1" xfId="0" applyNumberFormat="1" applyFont="1" applyBorder="1" applyAlignment="1">
      <alignment horizontal="center" vertical="center" wrapText="1"/>
    </xf>
    <xf numFmtId="2" fontId="10" fillId="0" borderId="1" xfId="0" applyNumberFormat="1" applyFont="1" applyBorder="1" applyAlignment="1">
      <alignment horizontal="center" vertical="center" wrapText="1"/>
    </xf>
    <xf numFmtId="2" fontId="10" fillId="0" borderId="1" xfId="0" applyNumberFormat="1" applyFont="1" applyBorder="1" applyAlignment="1">
      <alignment horizontal="center" vertical="center"/>
    </xf>
    <xf numFmtId="2" fontId="9" fillId="0" borderId="1" xfId="0" applyNumberFormat="1" applyFont="1" applyBorder="1" applyAlignment="1">
      <alignment horizontal="center"/>
    </xf>
    <xf numFmtId="4" fontId="9" fillId="0" borderId="1" xfId="0" applyNumberFormat="1" applyFont="1" applyBorder="1"/>
    <xf numFmtId="0" fontId="9" fillId="0" borderId="1" xfId="0" applyFont="1" applyBorder="1" applyAlignment="1">
      <alignment horizontal="center" vertical="center"/>
    </xf>
    <xf numFmtId="4" fontId="31" fillId="0" borderId="1" xfId="1" applyNumberFormat="1" applyFont="1" applyFill="1" applyBorder="1" applyAlignment="1">
      <alignment horizontal="right" vertical="center" indent="1"/>
    </xf>
    <xf numFmtId="4" fontId="9" fillId="0" borderId="1" xfId="0" applyNumberFormat="1" applyFont="1" applyBorder="1" applyAlignment="1">
      <alignment horizontal="right" indent="1"/>
    </xf>
    <xf numFmtId="43" fontId="9" fillId="0" borderId="0" xfId="1" applyFont="1"/>
    <xf numFmtId="43" fontId="10" fillId="0" borderId="0" xfId="0" applyNumberFormat="1" applyFont="1"/>
    <xf numFmtId="43" fontId="10" fillId="0" borderId="0" xfId="0" applyNumberFormat="1" applyFont="1" applyAlignment="1">
      <alignment vertical="center"/>
    </xf>
    <xf numFmtId="2" fontId="31" fillId="0" borderId="1" xfId="0" applyNumberFormat="1" applyFont="1" applyBorder="1" applyAlignment="1">
      <alignment horizontal="left" vertical="center"/>
    </xf>
    <xf numFmtId="2" fontId="31" fillId="0" borderId="1" xfId="0" applyNumberFormat="1" applyFont="1" applyBorder="1" applyAlignment="1">
      <alignment horizontal="center" vertical="center"/>
    </xf>
    <xf numFmtId="2" fontId="31" fillId="0" borderId="1" xfId="0" applyNumberFormat="1" applyFont="1" applyBorder="1" applyAlignment="1">
      <alignment vertical="center" wrapText="1"/>
    </xf>
    <xf numFmtId="2" fontId="0" fillId="0" borderId="0" xfId="0" applyNumberFormat="1"/>
    <xf numFmtId="43" fontId="36" fillId="0" borderId="0" xfId="0" applyNumberFormat="1" applyFont="1" applyAlignment="1">
      <alignment horizontal="center"/>
    </xf>
    <xf numFmtId="43" fontId="35" fillId="0" borderId="0" xfId="0" applyNumberFormat="1" applyFont="1"/>
    <xf numFmtId="43" fontId="35" fillId="0" borderId="0" xfId="0" applyNumberFormat="1" applyFont="1" applyAlignment="1">
      <alignment horizontal="center"/>
    </xf>
    <xf numFmtId="43" fontId="35" fillId="0" borderId="0" xfId="0" applyNumberFormat="1" applyFont="1" applyAlignment="1">
      <alignment horizontal="center" vertical="center"/>
    </xf>
    <xf numFmtId="43" fontId="36" fillId="0" borderId="0" xfId="0" applyNumberFormat="1" applyFont="1"/>
    <xf numFmtId="43" fontId="34" fillId="0" borderId="0" xfId="0" applyNumberFormat="1" applyFont="1" applyAlignment="1">
      <alignment horizontal="center" vertical="center"/>
    </xf>
    <xf numFmtId="43" fontId="37" fillId="0" borderId="0" xfId="0" applyNumberFormat="1" applyFont="1" applyAlignment="1">
      <alignment horizontal="center"/>
    </xf>
    <xf numFmtId="43" fontId="35" fillId="0" borderId="0" xfId="0" applyNumberFormat="1" applyFont="1" applyAlignment="1">
      <alignment vertical="center"/>
    </xf>
    <xf numFmtId="2" fontId="36" fillId="0" borderId="0" xfId="0" applyNumberFormat="1" applyFont="1" applyAlignment="1">
      <alignment horizontal="center"/>
    </xf>
    <xf numFmtId="2" fontId="35" fillId="0" borderId="0" xfId="0" applyNumberFormat="1" applyFont="1" applyAlignment="1">
      <alignment horizontal="center"/>
    </xf>
    <xf numFmtId="0" fontId="34" fillId="0" borderId="0" xfId="0" applyFont="1" applyAlignment="1">
      <alignment horizontal="left"/>
    </xf>
    <xf numFmtId="0" fontId="35" fillId="0" borderId="0" xfId="0" applyFont="1" applyAlignment="1">
      <alignment horizontal="left"/>
    </xf>
    <xf numFmtId="43" fontId="39" fillId="0" borderId="1" xfId="1" applyFont="1" applyFill="1" applyBorder="1" applyAlignment="1">
      <alignment horizontal="center" vertical="center"/>
    </xf>
    <xf numFmtId="2" fontId="39" fillId="0" borderId="1" xfId="0" applyNumberFormat="1" applyFont="1" applyBorder="1" applyAlignment="1">
      <alignment horizontal="center" vertical="center"/>
    </xf>
    <xf numFmtId="43" fontId="39" fillId="0" borderId="1" xfId="0" applyNumberFormat="1" applyFont="1" applyBorder="1" applyAlignment="1">
      <alignment horizontal="center" vertical="center"/>
    </xf>
    <xf numFmtId="43" fontId="39" fillId="0" borderId="1" xfId="5" applyNumberFormat="1" applyFont="1" applyFill="1" applyBorder="1" applyAlignment="1">
      <alignment horizontal="right" vertical="center" indent="1"/>
    </xf>
    <xf numFmtId="43" fontId="39" fillId="0" borderId="1" xfId="1" applyFont="1" applyFill="1" applyBorder="1" applyAlignment="1">
      <alignment horizontal="right" vertical="center" indent="1"/>
    </xf>
    <xf numFmtId="43" fontId="39" fillId="0" borderId="1" xfId="1" applyFont="1" applyFill="1" applyBorder="1" applyAlignment="1">
      <alignment horizontal="right" vertical="center" indent="2"/>
    </xf>
    <xf numFmtId="43" fontId="43" fillId="0" borderId="21" xfId="0" applyNumberFormat="1" applyFont="1" applyBorder="1" applyAlignment="1">
      <alignment horizontal="center" vertical="center"/>
    </xf>
    <xf numFmtId="2" fontId="39" fillId="0" borderId="1" xfId="1" applyNumberFormat="1" applyFont="1" applyFill="1" applyBorder="1" applyAlignment="1">
      <alignment horizontal="center" vertical="center"/>
    </xf>
    <xf numFmtId="43" fontId="39" fillId="0" borderId="1" xfId="6" applyNumberFormat="1" applyFont="1" applyFill="1" applyBorder="1" applyAlignment="1">
      <alignment horizontal="right" vertical="center" indent="1"/>
    </xf>
    <xf numFmtId="43" fontId="41" fillId="0" borderId="1" xfId="1" applyFont="1" applyFill="1" applyBorder="1" applyAlignment="1">
      <alignment horizontal="right" vertical="center" indent="1"/>
    </xf>
    <xf numFmtId="43" fontId="40" fillId="2" borderId="1" xfId="1" applyFont="1" applyFill="1" applyBorder="1" applyAlignment="1">
      <alignment horizontal="right" vertical="center" indent="2"/>
    </xf>
    <xf numFmtId="43" fontId="39" fillId="4" borderId="1" xfId="0" applyNumberFormat="1" applyFont="1" applyFill="1" applyBorder="1" applyAlignment="1">
      <alignment horizontal="center" vertical="center"/>
    </xf>
    <xf numFmtId="2" fontId="39" fillId="4" borderId="1" xfId="0" applyNumberFormat="1" applyFont="1" applyFill="1" applyBorder="1" applyAlignment="1">
      <alignment horizontal="center" vertical="center"/>
    </xf>
    <xf numFmtId="43" fontId="39" fillId="4" borderId="1" xfId="0" applyNumberFormat="1" applyFont="1" applyFill="1" applyBorder="1" applyAlignment="1">
      <alignment vertical="center"/>
    </xf>
    <xf numFmtId="43" fontId="41" fillId="4" borderId="1" xfId="1" applyFont="1" applyFill="1" applyBorder="1" applyAlignment="1">
      <alignment horizontal="right" vertical="center" indent="1"/>
    </xf>
    <xf numFmtId="43" fontId="39" fillId="4" borderId="1" xfId="1" applyFont="1" applyFill="1" applyBorder="1" applyAlignment="1">
      <alignment horizontal="right" vertical="center" indent="1"/>
    </xf>
    <xf numFmtId="43" fontId="41" fillId="4" borderId="1" xfId="1" applyFont="1" applyFill="1" applyBorder="1" applyAlignment="1">
      <alignment horizontal="right" vertical="center" indent="2"/>
    </xf>
    <xf numFmtId="43" fontId="39" fillId="0" borderId="1" xfId="0" applyNumberFormat="1" applyFont="1" applyBorder="1" applyAlignment="1">
      <alignment vertical="center"/>
    </xf>
    <xf numFmtId="0" fontId="39" fillId="0" borderId="1" xfId="0" applyFont="1" applyBorder="1" applyAlignment="1">
      <alignment horizontal="left" vertical="center" wrapText="1"/>
    </xf>
    <xf numFmtId="43" fontId="40" fillId="0" borderId="21" xfId="1" applyFont="1" applyFill="1" applyBorder="1" applyAlignment="1">
      <alignment vertical="center" wrapText="1"/>
    </xf>
    <xf numFmtId="43" fontId="40" fillId="0" borderId="25" xfId="1" applyFont="1" applyFill="1" applyBorder="1" applyAlignment="1">
      <alignment vertical="center" wrapText="1"/>
    </xf>
    <xf numFmtId="0" fontId="40" fillId="0" borderId="20" xfId="0" applyFont="1" applyBorder="1" applyAlignment="1">
      <alignment horizontal="left" vertical="center" wrapText="1" indent="1"/>
    </xf>
    <xf numFmtId="43" fontId="40" fillId="0" borderId="0" xfId="1" applyFont="1" applyFill="1" applyBorder="1" applyAlignment="1">
      <alignment horizontal="right" wrapText="1"/>
    </xf>
    <xf numFmtId="43" fontId="40" fillId="0" borderId="0" xfId="1" applyFont="1" applyFill="1" applyBorder="1" applyAlignment="1">
      <alignment vertical="center" wrapText="1"/>
    </xf>
    <xf numFmtId="0" fontId="34" fillId="0" borderId="0" xfId="0" applyFont="1" applyAlignment="1">
      <alignment horizontal="left" wrapText="1"/>
    </xf>
    <xf numFmtId="0" fontId="36" fillId="0" borderId="0" xfId="0" applyFont="1" applyAlignment="1">
      <alignment horizontal="left" wrapText="1"/>
    </xf>
    <xf numFmtId="0" fontId="35" fillId="0" borderId="0" xfId="0" applyFont="1" applyAlignment="1">
      <alignment horizontal="left" wrapText="1"/>
    </xf>
    <xf numFmtId="43" fontId="41" fillId="0" borderId="1" xfId="1" applyFont="1" applyBorder="1" applyAlignment="1">
      <alignment horizontal="center" vertical="center"/>
    </xf>
    <xf numFmtId="0" fontId="39" fillId="0" borderId="0" xfId="0" applyFont="1" applyAlignment="1">
      <alignment horizontal="center" vertical="center"/>
    </xf>
    <xf numFmtId="0" fontId="46" fillId="0" borderId="0" xfId="0" applyFont="1" applyAlignment="1">
      <alignment horizontal="center" vertical="center"/>
    </xf>
    <xf numFmtId="43" fontId="39" fillId="0" borderId="21" xfId="1" applyFont="1" applyBorder="1" applyAlignment="1">
      <alignment horizontal="center"/>
    </xf>
    <xf numFmtId="43" fontId="39" fillId="0" borderId="1" xfId="1" applyFont="1" applyBorder="1" applyAlignment="1">
      <alignment horizontal="center" vertical="center"/>
    </xf>
    <xf numFmtId="0" fontId="46" fillId="0" borderId="0" xfId="0" applyFont="1"/>
    <xf numFmtId="43" fontId="39" fillId="0" borderId="1" xfId="1" applyFont="1" applyBorder="1" applyAlignment="1">
      <alignment horizontal="center" vertical="center" wrapText="1"/>
    </xf>
    <xf numFmtId="0" fontId="47" fillId="0" borderId="0" xfId="0" applyFont="1"/>
    <xf numFmtId="0" fontId="39" fillId="0" borderId="0" xfId="0" applyFont="1" applyAlignment="1">
      <alignment vertical="center"/>
    </xf>
    <xf numFmtId="0" fontId="46" fillId="0" borderId="0" xfId="0" applyFont="1" applyAlignment="1">
      <alignment vertical="center"/>
    </xf>
    <xf numFmtId="0" fontId="41" fillId="0" borderId="1" xfId="1" applyNumberFormat="1" applyFont="1" applyBorder="1" applyAlignment="1">
      <alignment horizontal="center" vertical="center"/>
    </xf>
    <xf numFmtId="0" fontId="41" fillId="0" borderId="1" xfId="1" applyNumberFormat="1" applyFont="1" applyBorder="1" applyAlignment="1">
      <alignment horizontal="center"/>
    </xf>
    <xf numFmtId="0" fontId="41" fillId="0" borderId="21" xfId="1" applyNumberFormat="1" applyFont="1" applyBorder="1" applyAlignment="1">
      <alignment horizontal="center"/>
    </xf>
    <xf numFmtId="43" fontId="39" fillId="4" borderId="1" xfId="1" applyFont="1" applyFill="1" applyBorder="1" applyAlignment="1">
      <alignment horizontal="center" vertical="center"/>
    </xf>
    <xf numFmtId="43" fontId="39" fillId="4" borderId="1" xfId="5" applyNumberFormat="1" applyFont="1" applyFill="1" applyBorder="1" applyAlignment="1">
      <alignment horizontal="right" vertical="center" indent="1"/>
    </xf>
    <xf numFmtId="43" fontId="39" fillId="4" borderId="1" xfId="1" applyFont="1" applyFill="1" applyBorder="1" applyAlignment="1">
      <alignment horizontal="right" vertical="center" indent="2"/>
    </xf>
    <xf numFmtId="43" fontId="43" fillId="4" borderId="21" xfId="0" applyNumberFormat="1" applyFont="1" applyFill="1" applyBorder="1" applyAlignment="1">
      <alignment horizontal="center" vertical="center"/>
    </xf>
    <xf numFmtId="0" fontId="39" fillId="0" borderId="1" xfId="1" applyNumberFormat="1" applyFont="1" applyBorder="1" applyAlignment="1">
      <alignment horizontal="left" vertical="center" wrapText="1" indent="2"/>
    </xf>
    <xf numFmtId="0" fontId="9" fillId="0" borderId="1" xfId="1" applyNumberFormat="1" applyFont="1" applyBorder="1" applyAlignment="1">
      <alignment horizontal="left" vertical="center" wrapText="1" indent="2"/>
    </xf>
    <xf numFmtId="43" fontId="39" fillId="0" borderId="1" xfId="1" applyFont="1" applyBorder="1" applyAlignment="1">
      <alignment horizontal="right" vertical="center"/>
    </xf>
    <xf numFmtId="43" fontId="39" fillId="0" borderId="21" xfId="1" applyFont="1" applyBorder="1" applyAlignment="1">
      <alignment horizontal="right" vertical="center"/>
    </xf>
    <xf numFmtId="43" fontId="39" fillId="0" borderId="0" xfId="0" applyNumberFormat="1" applyFont="1" applyAlignment="1">
      <alignment vertical="center"/>
    </xf>
    <xf numFmtId="43" fontId="39" fillId="0" borderId="1" xfId="1" applyFont="1" applyBorder="1" applyAlignment="1">
      <alignment vertical="center"/>
    </xf>
    <xf numFmtId="43" fontId="38" fillId="0" borderId="1" xfId="1" applyFont="1" applyBorder="1" applyAlignment="1">
      <alignment vertical="center"/>
    </xf>
    <xf numFmtId="43" fontId="9" fillId="0" borderId="1" xfId="1" applyFont="1" applyBorder="1" applyAlignment="1">
      <alignment horizontal="right" vertical="center"/>
    </xf>
    <xf numFmtId="43" fontId="39" fillId="0" borderId="21" xfId="1" applyFont="1" applyBorder="1" applyAlignment="1">
      <alignment vertical="center"/>
    </xf>
    <xf numFmtId="43" fontId="38" fillId="0" borderId="1" xfId="1" applyFont="1" applyBorder="1" applyAlignment="1">
      <alignment horizontal="center" vertical="center"/>
    </xf>
    <xf numFmtId="43" fontId="9" fillId="0" borderId="1" xfId="1" applyFont="1" applyBorder="1" applyAlignment="1">
      <alignment vertical="center"/>
    </xf>
    <xf numFmtId="43" fontId="9" fillId="0" borderId="1" xfId="1" applyFont="1" applyBorder="1" applyAlignment="1">
      <alignment horizontal="center" vertical="center"/>
    </xf>
    <xf numFmtId="43" fontId="39" fillId="0" borderId="1" xfId="1" applyFont="1" applyBorder="1" applyAlignment="1">
      <alignment horizontal="left" vertical="center" indent="2"/>
    </xf>
    <xf numFmtId="43" fontId="9" fillId="3" borderId="1" xfId="1" applyFont="1" applyFill="1" applyBorder="1" applyAlignment="1">
      <alignment horizontal="center" vertical="center"/>
    </xf>
    <xf numFmtId="0" fontId="9" fillId="2" borderId="0" xfId="0" applyFont="1" applyFill="1" applyAlignment="1">
      <alignment vertical="center"/>
    </xf>
    <xf numFmtId="0" fontId="9" fillId="3" borderId="0" xfId="0" applyFont="1" applyFill="1" applyAlignment="1">
      <alignment horizontal="center" vertical="center"/>
    </xf>
    <xf numFmtId="0" fontId="9" fillId="6" borderId="0" xfId="0" applyFont="1" applyFill="1" applyAlignment="1">
      <alignment horizontal="center" vertical="center"/>
    </xf>
    <xf numFmtId="0" fontId="9" fillId="3" borderId="0" xfId="0" applyFont="1" applyFill="1" applyAlignment="1">
      <alignment vertical="center"/>
    </xf>
    <xf numFmtId="43" fontId="9" fillId="3" borderId="1" xfId="1" applyFont="1" applyFill="1" applyBorder="1" applyAlignment="1">
      <alignment horizontal="right" vertical="center" indent="1"/>
    </xf>
    <xf numFmtId="43" fontId="9" fillId="3" borderId="1" xfId="1" applyFont="1" applyFill="1" applyBorder="1" applyAlignment="1">
      <alignment horizontal="right" vertical="center" indent="2"/>
    </xf>
    <xf numFmtId="43" fontId="9" fillId="0" borderId="1" xfId="1" applyFont="1" applyBorder="1" applyAlignment="1">
      <alignment horizontal="right" vertical="center" indent="1"/>
    </xf>
    <xf numFmtId="0" fontId="40" fillId="4" borderId="1" xfId="0" applyFont="1" applyFill="1" applyBorder="1" applyAlignment="1">
      <alignment vertical="center" wrapText="1"/>
    </xf>
    <xf numFmtId="0" fontId="38" fillId="0" borderId="1" xfId="0" applyFont="1" applyBorder="1" applyAlignment="1">
      <alignment horizontal="left" vertical="center" wrapText="1" indent="3"/>
    </xf>
    <xf numFmtId="0" fontId="49" fillId="3" borderId="1" xfId="1" applyNumberFormat="1" applyFont="1" applyFill="1" applyBorder="1" applyAlignment="1">
      <alignment wrapText="1"/>
    </xf>
    <xf numFmtId="0" fontId="48" fillId="3" borderId="1" xfId="1" applyNumberFormat="1" applyFont="1" applyFill="1" applyBorder="1" applyAlignment="1">
      <alignment horizontal="left" indent="2"/>
    </xf>
    <xf numFmtId="0" fontId="40" fillId="0" borderId="0" xfId="0" applyFont="1" applyAlignment="1">
      <alignment horizontal="right" vertical="center" wrapText="1"/>
    </xf>
    <xf numFmtId="0" fontId="49" fillId="3" borderId="1" xfId="1" applyNumberFormat="1" applyFont="1" applyFill="1" applyBorder="1" applyAlignment="1">
      <alignment horizontal="left" wrapText="1" indent="3"/>
    </xf>
    <xf numFmtId="43" fontId="9" fillId="0" borderId="1" xfId="1" applyFont="1" applyFill="1" applyBorder="1" applyAlignment="1">
      <alignment horizontal="center" vertical="center"/>
    </xf>
    <xf numFmtId="43" fontId="9" fillId="0" borderId="1" xfId="1" applyFont="1" applyFill="1" applyBorder="1" applyAlignment="1">
      <alignment horizontal="right" vertical="center" indent="1"/>
    </xf>
    <xf numFmtId="43" fontId="9" fillId="0" borderId="1" xfId="1" applyFont="1" applyFill="1" applyBorder="1" applyAlignment="1">
      <alignment horizontal="right" vertical="center" indent="2"/>
    </xf>
    <xf numFmtId="43" fontId="10" fillId="2" borderId="1" xfId="1" applyFont="1" applyFill="1" applyBorder="1" applyAlignment="1">
      <alignment horizontal="center" vertical="center"/>
    </xf>
    <xf numFmtId="0" fontId="39" fillId="0" borderId="1" xfId="1" applyNumberFormat="1" applyFont="1" applyBorder="1" applyAlignment="1">
      <alignment horizontal="left" vertical="center" wrapText="1" indent="3"/>
    </xf>
    <xf numFmtId="43" fontId="10" fillId="0" borderId="1" xfId="1" applyFont="1" applyFill="1" applyBorder="1" applyAlignment="1">
      <alignment horizontal="right" vertical="center" indent="2"/>
    </xf>
    <xf numFmtId="43" fontId="10" fillId="0" borderId="1" xfId="1" applyFont="1" applyFill="1" applyBorder="1" applyAlignment="1">
      <alignment horizontal="center" vertical="center"/>
    </xf>
    <xf numFmtId="0" fontId="40" fillId="0" borderId="27" xfId="0" applyFont="1" applyBorder="1" applyAlignment="1">
      <alignment horizontal="left" vertical="center"/>
    </xf>
    <xf numFmtId="43" fontId="39" fillId="0" borderId="1" xfId="5" applyNumberFormat="1" applyFont="1" applyFill="1" applyBorder="1" applyAlignment="1">
      <alignment vertical="center"/>
    </xf>
    <xf numFmtId="43" fontId="35" fillId="0" borderId="1" xfId="0" applyNumberFormat="1" applyFont="1" applyBorder="1" applyAlignment="1">
      <alignment vertical="center"/>
    </xf>
    <xf numFmtId="43" fontId="40" fillId="2" borderId="1" xfId="1" applyFont="1" applyFill="1" applyBorder="1" applyAlignment="1">
      <alignment vertical="center"/>
    </xf>
    <xf numFmtId="43" fontId="44" fillId="0" borderId="21" xfId="0" applyNumberFormat="1" applyFont="1" applyBorder="1" applyAlignment="1">
      <alignment horizontal="center" vertical="center"/>
    </xf>
    <xf numFmtId="0" fontId="40" fillId="4" borderId="27" xfId="0" applyFont="1" applyFill="1" applyBorder="1" applyAlignment="1">
      <alignment horizontal="center" vertical="center"/>
    </xf>
    <xf numFmtId="0" fontId="38" fillId="0" borderId="1" xfId="0" applyFont="1" applyBorder="1" applyAlignment="1">
      <alignment horizontal="left" vertical="center" wrapText="1" indent="1"/>
    </xf>
    <xf numFmtId="0" fontId="39" fillId="0" borderId="1" xfId="0" applyFont="1" applyBorder="1" applyAlignment="1">
      <alignment horizontal="left" vertical="center" wrapText="1" indent="1"/>
    </xf>
    <xf numFmtId="0" fontId="40" fillId="4" borderId="1" xfId="0" applyFont="1" applyFill="1" applyBorder="1" applyAlignment="1">
      <alignment horizontal="left" vertical="center" wrapText="1"/>
    </xf>
    <xf numFmtId="43" fontId="42" fillId="4" borderId="21" xfId="0" applyNumberFormat="1" applyFont="1" applyFill="1" applyBorder="1"/>
    <xf numFmtId="0" fontId="40" fillId="0" borderId="27" xfId="0" applyFont="1" applyBorder="1" applyAlignment="1">
      <alignment horizontal="left" vertical="center" indent="1"/>
    </xf>
    <xf numFmtId="43" fontId="42" fillId="0" borderId="21" xfId="0" applyNumberFormat="1" applyFont="1" applyBorder="1"/>
    <xf numFmtId="0" fontId="40" fillId="0" borderId="1" xfId="0" applyFont="1" applyBorder="1" applyAlignment="1">
      <alignment horizontal="left" vertical="center" wrapText="1"/>
    </xf>
    <xf numFmtId="0" fontId="40" fillId="0" borderId="27" xfId="0" applyFont="1" applyBorder="1" applyAlignment="1">
      <alignment horizontal="center" vertical="center"/>
    </xf>
    <xf numFmtId="0" fontId="38" fillId="0" borderId="1" xfId="0" applyFont="1" applyBorder="1" applyAlignment="1">
      <alignment horizontal="left" vertical="center" wrapText="1"/>
    </xf>
    <xf numFmtId="0" fontId="39" fillId="3" borderId="1" xfId="0" applyFont="1" applyFill="1" applyBorder="1" applyAlignment="1">
      <alignment horizontal="left" wrapText="1"/>
    </xf>
    <xf numFmtId="43" fontId="11" fillId="0" borderId="1" xfId="1" applyFont="1" applyBorder="1" applyAlignment="1">
      <alignment horizontal="center"/>
    </xf>
    <xf numFmtId="43" fontId="11" fillId="0" borderId="1" xfId="1" applyFont="1" applyBorder="1"/>
    <xf numFmtId="43" fontId="11" fillId="3" borderId="1" xfId="1" applyFont="1" applyFill="1" applyBorder="1" applyAlignment="1">
      <alignment horizontal="center"/>
    </xf>
    <xf numFmtId="43" fontId="11" fillId="3" borderId="21" xfId="1" applyFont="1" applyFill="1" applyBorder="1" applyAlignment="1">
      <alignment horizontal="center"/>
    </xf>
    <xf numFmtId="43" fontId="9" fillId="3" borderId="21" xfId="1" applyFont="1" applyFill="1" applyBorder="1" applyAlignment="1">
      <alignment horizontal="center" vertical="center"/>
    </xf>
    <xf numFmtId="43" fontId="9" fillId="0" borderId="21" xfId="1" applyFont="1" applyBorder="1" applyAlignment="1">
      <alignment horizontal="center" vertical="center"/>
    </xf>
    <xf numFmtId="43" fontId="9" fillId="3" borderId="27" xfId="1" applyFont="1" applyFill="1" applyBorder="1" applyAlignment="1">
      <alignment horizontal="center" vertical="center"/>
    </xf>
    <xf numFmtId="43" fontId="9" fillId="0" borderId="21" xfId="1" applyFont="1" applyFill="1" applyBorder="1" applyAlignment="1">
      <alignment horizontal="center" vertical="center"/>
    </xf>
    <xf numFmtId="43" fontId="40" fillId="0" borderId="1" xfId="1" applyFont="1" applyFill="1" applyBorder="1" applyAlignment="1">
      <alignment vertical="center"/>
    </xf>
    <xf numFmtId="0" fontId="9" fillId="0" borderId="1" xfId="0" applyFont="1" applyBorder="1" applyAlignment="1">
      <alignment vertical="center"/>
    </xf>
    <xf numFmtId="0" fontId="38" fillId="0" borderId="1" xfId="1" applyNumberFormat="1" applyFont="1" applyBorder="1" applyAlignment="1">
      <alignment horizontal="left" vertical="center" wrapText="1" indent="1"/>
    </xf>
    <xf numFmtId="0" fontId="39" fillId="0" borderId="1" xfId="0" applyFont="1" applyBorder="1" applyAlignment="1">
      <alignment horizontal="left" vertical="center" wrapText="1" indent="2"/>
    </xf>
    <xf numFmtId="0" fontId="39" fillId="0" borderId="1" xfId="1" applyNumberFormat="1" applyFont="1" applyBorder="1" applyAlignment="1">
      <alignment horizontal="left" vertical="center" indent="3"/>
    </xf>
    <xf numFmtId="0" fontId="38" fillId="0" borderId="1" xfId="0" applyFont="1" applyBorder="1" applyAlignment="1">
      <alignment horizontal="left" vertical="center" wrapText="1" indent="2"/>
    </xf>
    <xf numFmtId="0" fontId="39" fillId="0" borderId="1" xfId="1" applyNumberFormat="1" applyFont="1" applyFill="1" applyBorder="1" applyAlignment="1">
      <alignment horizontal="left" vertical="center" wrapText="1" indent="1"/>
    </xf>
    <xf numFmtId="43" fontId="39" fillId="4" borderId="1" xfId="6" applyNumberFormat="1" applyFont="1" applyFill="1" applyBorder="1" applyAlignment="1">
      <alignment horizontal="right" vertical="center" indent="1"/>
    </xf>
    <xf numFmtId="0" fontId="45" fillId="0" borderId="1" xfId="1" applyNumberFormat="1" applyFont="1" applyBorder="1" applyAlignment="1">
      <alignment horizontal="left" vertical="center" wrapText="1" indent="1"/>
    </xf>
    <xf numFmtId="0" fontId="9" fillId="0" borderId="1" xfId="1" applyNumberFormat="1" applyFont="1" applyBorder="1" applyAlignment="1">
      <alignment horizontal="left" vertical="center" wrapText="1" indent="1"/>
    </xf>
    <xf numFmtId="0" fontId="39" fillId="0" borderId="1" xfId="1" applyNumberFormat="1" applyFont="1" applyBorder="1" applyAlignment="1">
      <alignment horizontal="left" vertical="center" wrapText="1" indent="1"/>
    </xf>
    <xf numFmtId="0" fontId="9" fillId="0" borderId="1" xfId="0" applyFont="1" applyBorder="1" applyAlignment="1">
      <alignment horizontal="left" vertical="center" wrapText="1" indent="1"/>
    </xf>
    <xf numFmtId="0" fontId="40" fillId="4" borderId="1" xfId="1" applyNumberFormat="1" applyFont="1" applyFill="1" applyBorder="1" applyAlignment="1">
      <alignment horizontal="left" vertical="center" wrapText="1"/>
    </xf>
    <xf numFmtId="0" fontId="40" fillId="4" borderId="1" xfId="0" applyFont="1" applyFill="1" applyBorder="1" applyAlignment="1">
      <alignment horizontal="left" wrapText="1"/>
    </xf>
    <xf numFmtId="0" fontId="52" fillId="0" borderId="1" xfId="0" applyFont="1" applyBorder="1" applyAlignment="1">
      <alignment horizontal="left" vertical="center" indent="1"/>
    </xf>
    <xf numFmtId="0" fontId="49" fillId="3" borderId="1" xfId="1" applyNumberFormat="1" applyFont="1" applyFill="1" applyBorder="1" applyAlignment="1">
      <alignment horizontal="left" vertical="center" wrapText="1" indent="3"/>
    </xf>
    <xf numFmtId="0" fontId="39" fillId="3" borderId="1" xfId="1" applyNumberFormat="1" applyFont="1" applyFill="1" applyBorder="1" applyAlignment="1">
      <alignment horizontal="left" vertical="center" wrapText="1" indent="2"/>
    </xf>
    <xf numFmtId="0" fontId="40" fillId="0" borderId="1" xfId="1" applyNumberFormat="1" applyFont="1" applyFill="1" applyBorder="1" applyAlignment="1">
      <alignment horizontal="left" vertical="center" wrapText="1" indent="1"/>
    </xf>
    <xf numFmtId="4" fontId="9" fillId="0" borderId="1" xfId="1" applyNumberFormat="1" applyFont="1" applyBorder="1" applyAlignment="1">
      <alignment horizontal="center" vertical="center"/>
    </xf>
    <xf numFmtId="4" fontId="9" fillId="0" borderId="1" xfId="1" applyNumberFormat="1" applyFont="1" applyBorder="1" applyAlignment="1">
      <alignment horizontal="right" vertical="center" indent="1"/>
    </xf>
    <xf numFmtId="4" fontId="9" fillId="3" borderId="1" xfId="0" applyNumberFormat="1" applyFont="1" applyFill="1" applyBorder="1" applyAlignment="1">
      <alignment horizontal="center" vertical="center"/>
    </xf>
    <xf numFmtId="2" fontId="9" fillId="3" borderId="1" xfId="0" applyNumberFormat="1" applyFont="1" applyFill="1" applyBorder="1" applyAlignment="1">
      <alignment horizontal="center" vertical="center"/>
    </xf>
    <xf numFmtId="0" fontId="49" fillId="3" borderId="1" xfId="7" applyFont="1" applyFill="1" applyBorder="1" applyAlignment="1">
      <alignment wrapText="1"/>
    </xf>
    <xf numFmtId="4" fontId="9" fillId="3" borderId="1" xfId="1" applyNumberFormat="1" applyFont="1" applyFill="1" applyBorder="1" applyAlignment="1">
      <alignment horizontal="right" vertical="center" indent="2"/>
    </xf>
    <xf numFmtId="4" fontId="9" fillId="3" borderId="1" xfId="1" applyNumberFormat="1" applyFont="1" applyFill="1" applyBorder="1" applyAlignment="1">
      <alignment horizontal="right" vertical="center" indent="1"/>
    </xf>
    <xf numFmtId="43" fontId="9" fillId="3" borderId="1" xfId="0" applyNumberFormat="1" applyFont="1" applyFill="1" applyBorder="1" applyAlignment="1">
      <alignment horizontal="center" vertical="center"/>
    </xf>
    <xf numFmtId="4" fontId="10" fillId="3" borderId="1" xfId="1" applyNumberFormat="1" applyFont="1" applyFill="1" applyBorder="1" applyAlignment="1">
      <alignment horizontal="right" vertical="center" indent="2"/>
    </xf>
    <xf numFmtId="0" fontId="9" fillId="3" borderId="1" xfId="7" applyFont="1" applyFill="1" applyBorder="1" applyAlignment="1">
      <alignment horizontal="left" wrapText="1" indent="3"/>
    </xf>
    <xf numFmtId="0" fontId="49" fillId="3" borderId="1" xfId="7" applyFont="1" applyFill="1" applyBorder="1" applyAlignment="1">
      <alignment horizontal="left" vertical="center" wrapText="1" indent="3"/>
    </xf>
    <xf numFmtId="0" fontId="49" fillId="3" borderId="1" xfId="7" applyFont="1" applyFill="1" applyBorder="1" applyAlignment="1">
      <alignment horizontal="left" wrapText="1" indent="3"/>
    </xf>
    <xf numFmtId="0" fontId="43" fillId="0" borderId="0" xfId="0" applyFont="1"/>
    <xf numFmtId="0" fontId="53" fillId="0" borderId="0" xfId="0" applyFont="1" applyAlignment="1">
      <alignment horizontal="left" vertical="center" wrapText="1"/>
    </xf>
    <xf numFmtId="43" fontId="53" fillId="0" borderId="0" xfId="0" applyNumberFormat="1" applyFont="1" applyAlignment="1">
      <alignment horizontal="center" vertical="center"/>
    </xf>
    <xf numFmtId="2" fontId="53" fillId="0" borderId="0" xfId="0" applyNumberFormat="1" applyFont="1" applyAlignment="1">
      <alignment horizontal="center" vertical="center"/>
    </xf>
    <xf numFmtId="43" fontId="43" fillId="0" borderId="0" xfId="0" applyNumberFormat="1" applyFont="1" applyAlignment="1">
      <alignment horizontal="center"/>
    </xf>
    <xf numFmtId="43" fontId="43" fillId="0" borderId="0" xfId="0" applyNumberFormat="1" applyFont="1"/>
    <xf numFmtId="43" fontId="54" fillId="0" borderId="0" xfId="0" applyNumberFormat="1" applyFont="1"/>
    <xf numFmtId="0" fontId="44" fillId="0" borderId="0" xfId="0" applyFont="1"/>
    <xf numFmtId="43" fontId="44" fillId="0" borderId="0" xfId="0" applyNumberFormat="1" applyFont="1"/>
    <xf numFmtId="2" fontId="43" fillId="0" borderId="0" xfId="0" applyNumberFormat="1" applyFont="1"/>
    <xf numFmtId="0" fontId="55" fillId="0" borderId="0" xfId="0" applyFont="1"/>
    <xf numFmtId="2" fontId="55" fillId="0" borderId="0" xfId="0" applyNumberFormat="1" applyFont="1"/>
    <xf numFmtId="43" fontId="55" fillId="0" borderId="0" xfId="0" applyNumberFormat="1" applyFont="1"/>
    <xf numFmtId="0" fontId="56" fillId="0" borderId="0" xfId="0" applyFont="1" applyAlignment="1">
      <alignment horizontal="left" vertical="center" wrapText="1"/>
    </xf>
    <xf numFmtId="43" fontId="56" fillId="0" borderId="0" xfId="0" applyNumberFormat="1" applyFont="1" applyAlignment="1">
      <alignment horizontal="center" vertical="center"/>
    </xf>
    <xf numFmtId="2" fontId="56" fillId="0" borderId="0" xfId="0" applyNumberFormat="1" applyFont="1" applyAlignment="1">
      <alignment horizontal="center" vertical="center"/>
    </xf>
    <xf numFmtId="0" fontId="43" fillId="0" borderId="0" xfId="0" applyFont="1" applyAlignment="1">
      <alignment horizontal="left" wrapText="1"/>
    </xf>
    <xf numFmtId="43" fontId="57" fillId="0" borderId="0" xfId="0" applyNumberFormat="1" applyFont="1" applyAlignment="1">
      <alignment horizontal="center"/>
    </xf>
    <xf numFmtId="0" fontId="57" fillId="0" borderId="0" xfId="0" applyFont="1" applyAlignment="1">
      <alignment horizontal="left"/>
    </xf>
    <xf numFmtId="0" fontId="57" fillId="0" borderId="0" xfId="0" applyFont="1" applyAlignment="1">
      <alignment horizontal="left" wrapText="1"/>
    </xf>
    <xf numFmtId="2" fontId="57" fillId="0" borderId="0" xfId="0" applyNumberFormat="1" applyFont="1" applyAlignment="1">
      <alignment horizontal="center"/>
    </xf>
    <xf numFmtId="43" fontId="57" fillId="0" borderId="0" xfId="0" applyNumberFormat="1" applyFont="1"/>
    <xf numFmtId="43" fontId="44" fillId="0" borderId="0" xfId="0" applyNumberFormat="1" applyFont="1" applyAlignment="1">
      <alignment horizontal="left"/>
    </xf>
    <xf numFmtId="0" fontId="39" fillId="0" borderId="27" xfId="0" applyFont="1" applyBorder="1" applyAlignment="1">
      <alignment horizontal="left" vertical="center" indent="1"/>
    </xf>
    <xf numFmtId="43" fontId="39" fillId="0" borderId="1" xfId="6" applyNumberFormat="1" applyFont="1" applyBorder="1" applyAlignment="1">
      <alignment horizontal="right" vertical="center" indent="1"/>
    </xf>
    <xf numFmtId="43" fontId="39" fillId="0" borderId="1" xfId="1" applyFont="1" applyBorder="1" applyAlignment="1">
      <alignment horizontal="right" vertical="center" indent="1"/>
    </xf>
    <xf numFmtId="43" fontId="39" fillId="0" borderId="1" xfId="1" applyFont="1" applyBorder="1" applyAlignment="1">
      <alignment horizontal="right" vertical="center" indent="2"/>
    </xf>
    <xf numFmtId="43" fontId="39" fillId="3" borderId="1" xfId="1" applyFont="1" applyFill="1" applyBorder="1" applyAlignment="1">
      <alignment horizontal="center" vertical="center"/>
    </xf>
    <xf numFmtId="2" fontId="39" fillId="0" borderId="1" xfId="1" applyNumberFormat="1" applyFont="1" applyBorder="1" applyAlignment="1">
      <alignment horizontal="center" vertical="center"/>
    </xf>
    <xf numFmtId="0" fontId="45" fillId="0" borderId="1" xfId="0" applyFont="1" applyBorder="1" applyAlignment="1">
      <alignment horizontal="left" vertical="top" indent="1"/>
    </xf>
    <xf numFmtId="0" fontId="45" fillId="0" borderId="1" xfId="1" applyNumberFormat="1" applyFont="1" applyBorder="1" applyAlignment="1">
      <alignment horizontal="left" vertical="top" indent="1"/>
    </xf>
    <xf numFmtId="0" fontId="38" fillId="0" borderId="1" xfId="0" applyFont="1" applyBorder="1" applyAlignment="1">
      <alignment horizontal="left" vertical="top" indent="2"/>
    </xf>
    <xf numFmtId="0" fontId="10" fillId="4" borderId="1" xfId="1" applyNumberFormat="1" applyFont="1" applyFill="1" applyBorder="1" applyAlignment="1">
      <alignment vertical="center" wrapText="1"/>
    </xf>
    <xf numFmtId="43" fontId="39" fillId="4" borderId="1" xfId="1" applyFont="1" applyFill="1" applyBorder="1" applyAlignment="1">
      <alignment horizontal="right"/>
    </xf>
    <xf numFmtId="43" fontId="38" fillId="4" borderId="1" xfId="1" applyFont="1" applyFill="1" applyBorder="1" applyAlignment="1">
      <alignment horizontal="center" vertical="center"/>
    </xf>
    <xf numFmtId="43" fontId="38" fillId="4" borderId="1" xfId="1" applyFont="1" applyFill="1" applyBorder="1" applyAlignment="1">
      <alignment horizontal="right" vertical="center"/>
    </xf>
    <xf numFmtId="43" fontId="39" fillId="4" borderId="1" xfId="1" applyFont="1" applyFill="1" applyBorder="1" applyAlignment="1">
      <alignment horizontal="right" vertical="center"/>
    </xf>
    <xf numFmtId="43" fontId="39" fillId="4" borderId="21" xfId="1" applyFont="1" applyFill="1" applyBorder="1" applyAlignment="1">
      <alignment horizontal="right" vertical="center"/>
    </xf>
    <xf numFmtId="0" fontId="10" fillId="0" borderId="1" xfId="1" applyNumberFormat="1" applyFont="1" applyBorder="1" applyAlignment="1">
      <alignment horizontal="left" vertical="center" wrapText="1" indent="1"/>
    </xf>
    <xf numFmtId="43" fontId="39" fillId="0" borderId="1" xfId="1" applyFont="1" applyBorder="1"/>
    <xf numFmtId="43" fontId="39" fillId="0" borderId="21" xfId="1" applyFont="1" applyBorder="1" applyAlignment="1">
      <alignment horizontal="center" vertical="center"/>
    </xf>
    <xf numFmtId="43" fontId="39" fillId="0" borderId="1" xfId="1" applyFont="1" applyBorder="1" applyAlignment="1">
      <alignment horizontal="right"/>
    </xf>
    <xf numFmtId="43" fontId="38" fillId="0" borderId="1" xfId="1" applyFont="1" applyBorder="1" applyAlignment="1">
      <alignment horizontal="right" vertical="center"/>
    </xf>
    <xf numFmtId="0" fontId="39" fillId="0" borderId="1" xfId="0" applyFont="1" applyBorder="1" applyAlignment="1">
      <alignment horizontal="left" vertical="top" wrapText="1" indent="2"/>
    </xf>
    <xf numFmtId="0" fontId="40" fillId="0" borderId="1" xfId="1" applyNumberFormat="1" applyFont="1" applyBorder="1" applyAlignment="1">
      <alignment horizontal="left" vertical="center" wrapText="1" indent="1"/>
    </xf>
    <xf numFmtId="0" fontId="49" fillId="3" borderId="1" xfId="7" applyFont="1" applyFill="1" applyBorder="1" applyAlignment="1">
      <alignment horizontal="left" wrapText="1" indent="2"/>
    </xf>
    <xf numFmtId="0" fontId="9" fillId="0" borderId="1" xfId="1" applyNumberFormat="1" applyFont="1" applyFill="1" applyBorder="1" applyAlignment="1">
      <alignment horizontal="left" vertical="center" wrapText="1" indent="3"/>
    </xf>
    <xf numFmtId="0" fontId="49" fillId="0" borderId="1" xfId="1" applyNumberFormat="1" applyFont="1" applyFill="1" applyBorder="1" applyAlignment="1">
      <alignment horizontal="left" vertical="center" wrapText="1" indent="3"/>
    </xf>
    <xf numFmtId="0" fontId="38" fillId="0" borderId="1" xfId="0" applyFont="1" applyBorder="1" applyAlignment="1">
      <alignment horizontal="left" vertical="top" wrapText="1" indent="2"/>
    </xf>
    <xf numFmtId="4" fontId="39" fillId="0" borderId="1" xfId="1" applyNumberFormat="1" applyFont="1" applyBorder="1" applyAlignment="1">
      <alignment horizontal="right" vertical="center"/>
    </xf>
    <xf numFmtId="43" fontId="39" fillId="0" borderId="1" xfId="6" applyNumberFormat="1" applyFont="1" applyBorder="1" applyAlignment="1">
      <alignment horizontal="right" vertical="center"/>
    </xf>
    <xf numFmtId="0" fontId="39" fillId="0" borderId="27" xfId="0" applyFont="1" applyBorder="1" applyAlignment="1">
      <alignment horizontal="left" vertical="center" indent="2"/>
    </xf>
    <xf numFmtId="0" fontId="39" fillId="0" borderId="27" xfId="0" applyFont="1" applyBorder="1" applyAlignment="1">
      <alignment horizontal="left" vertical="center" indent="3"/>
    </xf>
    <xf numFmtId="0" fontId="9" fillId="0" borderId="27" xfId="1" applyNumberFormat="1" applyFont="1" applyFill="1" applyBorder="1" applyAlignment="1">
      <alignment horizontal="left" vertical="center" wrapText="1" indent="3"/>
    </xf>
    <xf numFmtId="0" fontId="10" fillId="0" borderId="1" xfId="9" applyFont="1" applyBorder="1" applyAlignment="1">
      <alignment horizontal="left" vertical="center" wrapText="1" indent="1"/>
    </xf>
    <xf numFmtId="0" fontId="9" fillId="0" borderId="1" xfId="1" applyNumberFormat="1" applyFont="1" applyFill="1" applyBorder="1" applyAlignment="1">
      <alignment horizontal="left" vertical="center" wrapText="1" indent="2"/>
    </xf>
    <xf numFmtId="0" fontId="9" fillId="0" borderId="1" xfId="9" applyFont="1" applyBorder="1" applyAlignment="1">
      <alignment horizontal="left" vertical="center" wrapText="1" indent="2"/>
    </xf>
    <xf numFmtId="0" fontId="49" fillId="0" borderId="1" xfId="1" applyNumberFormat="1" applyFont="1" applyFill="1" applyBorder="1" applyAlignment="1">
      <alignment horizontal="left" wrapText="1" indent="2"/>
    </xf>
    <xf numFmtId="4" fontId="9" fillId="0" borderId="21" xfId="1" applyNumberFormat="1" applyFont="1" applyBorder="1" applyAlignment="1">
      <alignment horizontal="center" vertical="center"/>
    </xf>
    <xf numFmtId="43" fontId="43" fillId="0" borderId="21" xfId="0" applyNumberFormat="1" applyFont="1" applyBorder="1" applyAlignment="1">
      <alignment horizontal="right" vertical="center"/>
    </xf>
    <xf numFmtId="2" fontId="9" fillId="0" borderId="1" xfId="0" applyNumberFormat="1" applyFont="1" applyBorder="1" applyAlignment="1">
      <alignment horizontal="left" vertical="center" wrapText="1" indent="2"/>
    </xf>
    <xf numFmtId="43" fontId="9" fillId="3" borderId="21" xfId="0" applyNumberFormat="1" applyFont="1" applyFill="1" applyBorder="1" applyAlignment="1">
      <alignment horizontal="center" vertical="center"/>
    </xf>
    <xf numFmtId="4" fontId="9" fillId="3" borderId="27" xfId="7" applyNumberFormat="1" applyFont="1" applyFill="1" applyBorder="1" applyAlignment="1">
      <alignment horizontal="center" vertical="center"/>
    </xf>
    <xf numFmtId="168" fontId="9" fillId="3" borderId="1" xfId="7" applyNumberFormat="1" applyFont="1" applyFill="1" applyBorder="1" applyAlignment="1">
      <alignment horizontal="center" vertical="center"/>
    </xf>
    <xf numFmtId="0" fontId="39" fillId="0" borderId="1" xfId="0" applyFont="1" applyBorder="1" applyAlignment="1">
      <alignment horizontal="left" wrapText="1" indent="2"/>
    </xf>
    <xf numFmtId="0" fontId="48" fillId="0" borderId="1" xfId="1" applyNumberFormat="1" applyFont="1" applyBorder="1" applyAlignment="1">
      <alignment horizontal="left" indent="1"/>
    </xf>
    <xf numFmtId="43" fontId="49" fillId="0" borderId="1" xfId="1" applyFont="1" applyBorder="1" applyAlignment="1">
      <alignment horizontal="center"/>
    </xf>
    <xf numFmtId="4" fontId="9" fillId="3" borderId="0" xfId="0" applyNumberFormat="1" applyFont="1" applyFill="1" applyAlignment="1">
      <alignment vertical="center"/>
    </xf>
    <xf numFmtId="0" fontId="9" fillId="3" borderId="1" xfId="0" applyFont="1" applyFill="1" applyBorder="1" applyAlignment="1">
      <alignment vertical="center"/>
    </xf>
    <xf numFmtId="0" fontId="40" fillId="0" borderId="1" xfId="0" applyFont="1" applyBorder="1" applyAlignment="1">
      <alignment horizontal="left" vertical="center" wrapText="1" indent="1"/>
    </xf>
    <xf numFmtId="43" fontId="49" fillId="0" borderId="1" xfId="1" applyFont="1" applyBorder="1" applyAlignment="1">
      <alignment horizontal="center" vertical="center"/>
    </xf>
    <xf numFmtId="43" fontId="46" fillId="0" borderId="0" xfId="1" applyFont="1" applyAlignment="1">
      <alignment vertical="center"/>
    </xf>
    <xf numFmtId="4" fontId="39" fillId="0" borderId="1" xfId="1" applyNumberFormat="1" applyFont="1" applyBorder="1" applyAlignment="1">
      <alignment horizontal="right" vertical="center" indent="1"/>
    </xf>
    <xf numFmtId="4" fontId="39" fillId="0" borderId="1" xfId="1" applyNumberFormat="1" applyFont="1" applyBorder="1" applyAlignment="1">
      <alignment horizontal="right" vertical="center" indent="2"/>
    </xf>
    <xf numFmtId="43" fontId="39" fillId="0" borderId="21" xfId="0" applyNumberFormat="1" applyFont="1" applyBorder="1" applyAlignment="1">
      <alignment horizontal="center" vertical="center"/>
    </xf>
    <xf numFmtId="2" fontId="40" fillId="0" borderId="27" xfId="0" applyNumberFormat="1" applyFont="1" applyBorder="1" applyAlignment="1">
      <alignment horizontal="left" vertical="center" indent="1"/>
    </xf>
    <xf numFmtId="0" fontId="38" fillId="0" borderId="1" xfId="1" applyNumberFormat="1" applyFont="1" applyBorder="1" applyAlignment="1">
      <alignment horizontal="left" vertical="center" wrapText="1" indent="2"/>
    </xf>
    <xf numFmtId="0" fontId="40" fillId="0" borderId="0" xfId="0" applyFont="1" applyAlignment="1">
      <alignment horizontal="left" vertical="center" wrapText="1" indent="1"/>
    </xf>
    <xf numFmtId="43" fontId="9" fillId="0" borderId="21" xfId="1" applyFont="1" applyBorder="1" applyAlignment="1">
      <alignment horizontal="right" vertical="center"/>
    </xf>
    <xf numFmtId="0" fontId="9" fillId="4" borderId="0" xfId="0" applyFont="1" applyFill="1" applyAlignment="1">
      <alignment vertical="center"/>
    </xf>
    <xf numFmtId="0" fontId="9" fillId="0" borderId="27" xfId="1" applyNumberFormat="1" applyFont="1" applyBorder="1" applyAlignment="1">
      <alignment horizontal="left" vertical="center" wrapText="1" indent="2"/>
    </xf>
    <xf numFmtId="0" fontId="40" fillId="0" borderId="27" xfId="1" applyNumberFormat="1" applyFont="1" applyBorder="1" applyAlignment="1">
      <alignment horizontal="left" vertical="center" indent="1"/>
    </xf>
    <xf numFmtId="0" fontId="9" fillId="0" borderId="27" xfId="1" applyNumberFormat="1" applyFont="1" applyFill="1" applyBorder="1" applyAlignment="1">
      <alignment horizontal="left" vertical="center" wrapText="1" indent="2"/>
    </xf>
    <xf numFmtId="0" fontId="49" fillId="3" borderId="1" xfId="7" applyFont="1" applyFill="1" applyBorder="1" applyAlignment="1">
      <alignment horizontal="left" vertical="center" wrapText="1" indent="2"/>
    </xf>
    <xf numFmtId="0" fontId="38" fillId="0" borderId="1" xfId="1" applyNumberFormat="1" applyFont="1" applyFill="1" applyBorder="1" applyAlignment="1">
      <alignment horizontal="left" vertical="center" wrapText="1" indent="2"/>
    </xf>
    <xf numFmtId="2" fontId="39" fillId="0" borderId="27" xfId="0" applyNumberFormat="1" applyFont="1" applyBorder="1" applyAlignment="1">
      <alignment horizontal="left" vertical="center" indent="2"/>
    </xf>
    <xf numFmtId="169" fontId="40" fillId="0" borderId="27" xfId="0" applyNumberFormat="1" applyFont="1" applyBorder="1" applyAlignment="1">
      <alignment horizontal="left" vertical="center" indent="1"/>
    </xf>
    <xf numFmtId="0" fontId="40" fillId="0" borderId="20" xfId="0" applyFont="1" applyBorder="1" applyAlignment="1">
      <alignment horizontal="right" vertical="center" wrapText="1"/>
    </xf>
    <xf numFmtId="43" fontId="40" fillId="0" borderId="20" xfId="1" applyFont="1" applyFill="1" applyBorder="1" applyAlignment="1">
      <alignment horizontal="right" wrapText="1"/>
    </xf>
    <xf numFmtId="43" fontId="40" fillId="0" borderId="20" xfId="1" applyFont="1" applyFill="1" applyBorder="1" applyAlignment="1">
      <alignment vertical="center" wrapText="1"/>
    </xf>
    <xf numFmtId="2" fontId="43" fillId="0" borderId="0" xfId="0" applyNumberFormat="1" applyFont="1" applyAlignment="1">
      <alignment horizontal="center"/>
    </xf>
    <xf numFmtId="43" fontId="39" fillId="0" borderId="0" xfId="0" applyNumberFormat="1" applyFont="1"/>
    <xf numFmtId="0" fontId="44" fillId="0" borderId="0" xfId="0" applyFont="1" applyAlignment="1">
      <alignment horizontal="left" vertical="center" wrapText="1"/>
    </xf>
    <xf numFmtId="43" fontId="44" fillId="0" borderId="0" xfId="0" applyNumberFormat="1" applyFont="1" applyAlignment="1">
      <alignment horizontal="center" vertical="center"/>
    </xf>
    <xf numFmtId="0" fontId="43" fillId="0" borderId="0" xfId="0" applyFont="1" applyAlignment="1">
      <alignment horizontal="left" vertical="center" wrapText="1"/>
    </xf>
    <xf numFmtId="43" fontId="43" fillId="0" borderId="0" xfId="0" applyNumberFormat="1" applyFont="1" applyAlignment="1">
      <alignment horizontal="center" vertical="center"/>
    </xf>
    <xf numFmtId="4" fontId="55" fillId="0" borderId="0" xfId="0" applyNumberFormat="1" applyFont="1"/>
    <xf numFmtId="4" fontId="44" fillId="0" borderId="0" xfId="0" applyNumberFormat="1" applyFont="1"/>
    <xf numFmtId="43" fontId="44" fillId="0" borderId="0" xfId="0" applyNumberFormat="1" applyFont="1" applyAlignment="1">
      <alignment horizontal="center"/>
    </xf>
    <xf numFmtId="43" fontId="55" fillId="0" borderId="0" xfId="0" applyNumberFormat="1" applyFont="1" applyAlignment="1">
      <alignment horizontal="center"/>
    </xf>
    <xf numFmtId="0" fontId="43" fillId="0" borderId="0" xfId="0" applyFont="1" applyAlignment="1">
      <alignment horizontal="center"/>
    </xf>
    <xf numFmtId="0" fontId="39" fillId="0" borderId="1" xfId="0" applyFont="1" applyBorder="1" applyAlignment="1">
      <alignment horizontal="left" vertical="center" wrapText="1" indent="3"/>
    </xf>
    <xf numFmtId="43" fontId="9" fillId="0" borderId="1" xfId="1" applyFont="1" applyFill="1" applyBorder="1" applyAlignment="1">
      <alignment vertical="center"/>
    </xf>
    <xf numFmtId="43" fontId="9" fillId="0" borderId="1" xfId="1" applyFont="1" applyFill="1" applyBorder="1" applyAlignment="1">
      <alignment horizontal="right" vertical="center"/>
    </xf>
    <xf numFmtId="0" fontId="9" fillId="0" borderId="1" xfId="1" applyNumberFormat="1" applyFont="1" applyFill="1" applyBorder="1" applyAlignment="1">
      <alignment horizontal="left" vertical="center" indent="2"/>
    </xf>
    <xf numFmtId="43" fontId="40" fillId="0" borderId="1" xfId="1" applyFont="1" applyBorder="1" applyAlignment="1">
      <alignment horizontal="center" vertical="center" wrapText="1"/>
    </xf>
    <xf numFmtId="43" fontId="40" fillId="0" borderId="1" xfId="1" applyFont="1" applyBorder="1" applyAlignment="1">
      <alignment horizontal="center" vertical="center"/>
    </xf>
    <xf numFmtId="43" fontId="41" fillId="0" borderId="1" xfId="1" applyFont="1" applyBorder="1" applyAlignment="1">
      <alignment horizontal="center"/>
    </xf>
    <xf numFmtId="43" fontId="41" fillId="3" borderId="1" xfId="1" applyFont="1" applyFill="1" applyBorder="1" applyAlignment="1">
      <alignment horizontal="center"/>
    </xf>
    <xf numFmtId="43" fontId="41" fillId="3" borderId="21" xfId="1" applyFont="1" applyFill="1" applyBorder="1" applyAlignment="1">
      <alignment horizontal="center"/>
    </xf>
    <xf numFmtId="0" fontId="8" fillId="0" borderId="0" xfId="0" applyFont="1" applyAlignment="1">
      <alignment horizontal="center" vertical="center"/>
    </xf>
    <xf numFmtId="1" fontId="40" fillId="4" borderId="27" xfId="0" applyNumberFormat="1" applyFont="1" applyFill="1" applyBorder="1" applyAlignment="1">
      <alignment horizontal="center" vertical="center"/>
    </xf>
    <xf numFmtId="43" fontId="35" fillId="0" borderId="0" xfId="1" applyFont="1" applyAlignment="1">
      <alignment vertical="center"/>
    </xf>
    <xf numFmtId="43" fontId="35" fillId="0" borderId="0" xfId="1" applyFont="1" applyFill="1" applyAlignment="1">
      <alignment vertical="center"/>
    </xf>
    <xf numFmtId="43" fontId="39" fillId="0" borderId="0" xfId="1" applyFont="1" applyAlignment="1">
      <alignment vertical="center"/>
    </xf>
    <xf numFmtId="43" fontId="34" fillId="0" borderId="0" xfId="1" applyFont="1" applyAlignment="1">
      <alignment vertical="center"/>
    </xf>
    <xf numFmtId="0" fontId="8" fillId="0" borderId="0" xfId="0" applyFont="1" applyAlignment="1">
      <alignment horizontal="center" vertical="center" wrapText="1"/>
    </xf>
    <xf numFmtId="0" fontId="0" fillId="0" borderId="30" xfId="0" applyBorder="1" applyAlignment="1">
      <alignment horizontal="center" vertical="center"/>
    </xf>
    <xf numFmtId="0" fontId="0" fillId="0" borderId="31" xfId="0" applyBorder="1" applyAlignment="1">
      <alignment horizontal="center" vertical="center"/>
    </xf>
    <xf numFmtId="43" fontId="0" fillId="0" borderId="29" xfId="1" applyFont="1" applyBorder="1" applyAlignment="1">
      <alignment horizontal="center" vertical="center"/>
    </xf>
    <xf numFmtId="43" fontId="0" fillId="0" borderId="0" xfId="1" applyFont="1" applyBorder="1" applyAlignment="1">
      <alignment horizontal="center" vertical="center"/>
    </xf>
    <xf numFmtId="43" fontId="0" fillId="0" borderId="30" xfId="1" applyFont="1" applyBorder="1" applyAlignment="1">
      <alignment horizontal="center" vertical="center"/>
    </xf>
    <xf numFmtId="43" fontId="0" fillId="0" borderId="31" xfId="1" applyFont="1" applyBorder="1" applyAlignment="1">
      <alignment horizontal="center" vertical="center"/>
    </xf>
    <xf numFmtId="43" fontId="8" fillId="0" borderId="29" xfId="0" applyNumberFormat="1" applyFont="1" applyBorder="1" applyAlignment="1">
      <alignment horizontal="center" vertical="center"/>
    </xf>
    <xf numFmtId="43" fontId="0" fillId="0" borderId="0" xfId="0" applyNumberFormat="1" applyAlignment="1">
      <alignment horizontal="center" vertical="center"/>
    </xf>
    <xf numFmtId="165" fontId="0" fillId="0" borderId="0" xfId="0" applyNumberFormat="1"/>
    <xf numFmtId="43" fontId="0" fillId="0" borderId="0" xfId="1" applyFont="1" applyFill="1" applyAlignment="1">
      <alignment horizontal="center" vertical="center"/>
    </xf>
    <xf numFmtId="43" fontId="0" fillId="0" borderId="0" xfId="1" applyFont="1" applyFill="1"/>
    <xf numFmtId="43" fontId="34" fillId="0" borderId="0" xfId="1" applyFont="1"/>
    <xf numFmtId="43" fontId="34" fillId="0" borderId="0" xfId="1" applyFont="1" applyAlignment="1">
      <alignment horizontal="center" vertical="center"/>
    </xf>
    <xf numFmtId="43" fontId="0" fillId="2" borderId="0" xfId="1" applyFont="1" applyFill="1" applyAlignment="1">
      <alignment horizontal="center" vertical="center"/>
    </xf>
    <xf numFmtId="43" fontId="0" fillId="2" borderId="0" xfId="1" applyFont="1" applyFill="1"/>
    <xf numFmtId="43" fontId="39" fillId="0" borderId="0" xfId="1" applyFont="1" applyBorder="1" applyAlignment="1">
      <alignment vertical="center"/>
    </xf>
    <xf numFmtId="43" fontId="40" fillId="0" borderId="0" xfId="1" applyFont="1" applyAlignment="1">
      <alignment vertical="center"/>
    </xf>
    <xf numFmtId="0" fontId="38" fillId="0" borderId="27" xfId="1" applyNumberFormat="1" applyFont="1" applyFill="1" applyBorder="1" applyAlignment="1">
      <alignment horizontal="left" vertical="center" indent="4"/>
    </xf>
    <xf numFmtId="43" fontId="40" fillId="0" borderId="0" xfId="1" applyFont="1" applyBorder="1" applyAlignment="1">
      <alignment vertical="center"/>
    </xf>
    <xf numFmtId="0" fontId="9" fillId="3" borderId="16" xfId="0" applyFont="1" applyFill="1" applyBorder="1" applyAlignment="1">
      <alignment vertical="center"/>
    </xf>
    <xf numFmtId="43" fontId="46" fillId="0" borderId="0" xfId="1" applyFont="1" applyAlignment="1">
      <alignment horizontal="center" vertical="center"/>
    </xf>
    <xf numFmtId="43" fontId="0" fillId="0" borderId="0" xfId="1" applyFont="1"/>
    <xf numFmtId="43" fontId="28" fillId="0" borderId="0" xfId="1" applyFont="1" applyFill="1" applyAlignment="1">
      <alignment horizontal="center" vertical="center"/>
    </xf>
    <xf numFmtId="43" fontId="28" fillId="7" borderId="0" xfId="1" applyFont="1" applyFill="1" applyAlignment="1">
      <alignment horizontal="center" vertical="center"/>
    </xf>
    <xf numFmtId="43" fontId="28" fillId="12" borderId="0" xfId="1" applyFont="1" applyFill="1" applyAlignment="1">
      <alignment horizontal="center" vertical="center"/>
    </xf>
    <xf numFmtId="43" fontId="28" fillId="9" borderId="0" xfId="1" applyFont="1" applyFill="1" applyAlignment="1">
      <alignment horizontal="center" vertical="center"/>
    </xf>
    <xf numFmtId="43" fontId="28" fillId="8" borderId="0" xfId="1" applyFont="1" applyFill="1" applyAlignment="1">
      <alignment horizontal="center" vertical="center"/>
    </xf>
    <xf numFmtId="43" fontId="28" fillId="10" borderId="0" xfId="1" applyFont="1" applyFill="1" applyAlignment="1">
      <alignment horizontal="center" vertical="center"/>
    </xf>
    <xf numFmtId="43" fontId="28" fillId="11" borderId="0" xfId="1" applyFont="1" applyFill="1" applyAlignment="1">
      <alignment horizontal="center" vertical="center"/>
    </xf>
    <xf numFmtId="43" fontId="8" fillId="0" borderId="0" xfId="1" applyFont="1"/>
    <xf numFmtId="43" fontId="0" fillId="7" borderId="0" xfId="1" applyFont="1" applyFill="1"/>
    <xf numFmtId="43" fontId="0" fillId="8" borderId="0" xfId="1" applyFont="1" applyFill="1"/>
    <xf numFmtId="43" fontId="0" fillId="5" borderId="0" xfId="1" applyFont="1" applyFill="1"/>
    <xf numFmtId="43" fontId="0" fillId="11" borderId="0" xfId="1" applyFont="1" applyFill="1"/>
    <xf numFmtId="43" fontId="35" fillId="0" borderId="0" xfId="1" applyFont="1"/>
    <xf numFmtId="43" fontId="46" fillId="0" borderId="0" xfId="1" applyFont="1"/>
    <xf numFmtId="43" fontId="47" fillId="0" borderId="0" xfId="1" applyFont="1"/>
    <xf numFmtId="0" fontId="40" fillId="0" borderId="27" xfId="0" applyFont="1" applyBorder="1" applyAlignment="1">
      <alignment horizontal="left" vertical="center" indent="2"/>
    </xf>
    <xf numFmtId="0" fontId="40" fillId="0" borderId="27" xfId="1" applyNumberFormat="1" applyFont="1" applyBorder="1" applyAlignment="1">
      <alignment horizontal="left" vertical="center" indent="2"/>
    </xf>
    <xf numFmtId="169" fontId="40" fillId="0" borderId="27" xfId="1" applyNumberFormat="1" applyFont="1" applyBorder="1" applyAlignment="1">
      <alignment horizontal="left" vertical="center" indent="2"/>
    </xf>
    <xf numFmtId="0" fontId="45" fillId="0" borderId="1" xfId="1" applyNumberFormat="1" applyFont="1" applyFill="1" applyBorder="1" applyAlignment="1">
      <alignment horizontal="left" vertical="center" wrapText="1" indent="1"/>
    </xf>
    <xf numFmtId="0" fontId="39" fillId="0" borderId="1" xfId="0" applyFont="1" applyBorder="1" applyAlignment="1">
      <alignment horizontal="left" vertical="center" indent="3"/>
    </xf>
    <xf numFmtId="0" fontId="39" fillId="0" borderId="1" xfId="1" applyNumberFormat="1" applyFont="1" applyFill="1" applyBorder="1" applyAlignment="1">
      <alignment horizontal="left" vertical="center" indent="3"/>
    </xf>
    <xf numFmtId="43" fontId="34" fillId="0" borderId="0" xfId="1" applyFont="1" applyAlignment="1">
      <alignment horizontal="center"/>
    </xf>
    <xf numFmtId="0" fontId="0" fillId="3" borderId="0" xfId="0" applyFill="1"/>
    <xf numFmtId="0" fontId="62" fillId="0" borderId="0" xfId="0" applyFont="1"/>
    <xf numFmtId="43" fontId="34" fillId="0" borderId="0" xfId="0" applyNumberFormat="1" applyFont="1"/>
    <xf numFmtId="43" fontId="35" fillId="0" borderId="0" xfId="1" applyFont="1" applyFill="1" applyAlignment="1"/>
    <xf numFmtId="20" fontId="8" fillId="0" borderId="0" xfId="0" applyNumberFormat="1" applyFont="1"/>
    <xf numFmtId="0" fontId="0" fillId="0" borderId="0" xfId="0" applyAlignment="1">
      <alignment horizontal="center" vertical="center"/>
    </xf>
    <xf numFmtId="0" fontId="8" fillId="4" borderId="0" xfId="0" applyFont="1" applyFill="1"/>
    <xf numFmtId="0" fontId="0" fillId="4" borderId="0" xfId="0" applyFill="1" applyAlignment="1">
      <alignment horizontal="center" vertical="center"/>
    </xf>
    <xf numFmtId="0" fontId="8" fillId="4" borderId="0" xfId="0" applyFont="1" applyFill="1" applyAlignment="1">
      <alignment horizontal="center" vertical="center"/>
    </xf>
    <xf numFmtId="170" fontId="0" fillId="0" borderId="0" xfId="0" applyNumberFormat="1" applyAlignment="1">
      <alignment horizontal="center" vertical="center"/>
    </xf>
    <xf numFmtId="0" fontId="8" fillId="0" borderId="0" xfId="0" applyFont="1" applyAlignment="1">
      <alignment horizontal="left"/>
    </xf>
    <xf numFmtId="20" fontId="8" fillId="0" borderId="0" xfId="0" applyNumberFormat="1" applyFont="1" applyAlignment="1">
      <alignment horizontal="center"/>
    </xf>
    <xf numFmtId="0" fontId="0" fillId="4" borderId="0" xfId="0" applyFill="1"/>
    <xf numFmtId="43" fontId="46" fillId="0" borderId="0" xfId="1" applyFont="1" applyFill="1" applyAlignment="1">
      <alignment vertical="center"/>
    </xf>
    <xf numFmtId="43" fontId="35" fillId="0" borderId="0" xfId="1" applyFont="1" applyFill="1"/>
    <xf numFmtId="43" fontId="40" fillId="0" borderId="0" xfId="1" applyFont="1" applyFill="1" applyAlignment="1">
      <alignment vertical="center"/>
    </xf>
    <xf numFmtId="43" fontId="40" fillId="0" borderId="0" xfId="1" applyFont="1" applyFill="1" applyAlignment="1"/>
    <xf numFmtId="0" fontId="39" fillId="0" borderId="0" xfId="0" applyFont="1"/>
    <xf numFmtId="43" fontId="39" fillId="0" borderId="0" xfId="1" applyFont="1" applyFill="1" applyAlignment="1">
      <alignment vertical="center"/>
    </xf>
    <xf numFmtId="0" fontId="28" fillId="4" borderId="0" xfId="0" applyFont="1" applyFill="1"/>
    <xf numFmtId="0" fontId="0" fillId="4" borderId="0" xfId="0" applyFill="1" applyAlignment="1">
      <alignment horizontal="center"/>
    </xf>
    <xf numFmtId="0" fontId="28" fillId="0" borderId="0" xfId="0" applyFont="1" applyAlignment="1">
      <alignment horizontal="center"/>
    </xf>
    <xf numFmtId="0" fontId="63" fillId="0" borderId="0" xfId="0" applyFont="1" applyAlignment="1">
      <alignment horizontal="center"/>
    </xf>
    <xf numFmtId="0" fontId="8" fillId="4" borderId="0" xfId="0" applyFont="1" applyFill="1" applyAlignment="1">
      <alignment horizontal="center"/>
    </xf>
    <xf numFmtId="2" fontId="0" fillId="4" borderId="0" xfId="0" applyNumberFormat="1" applyFill="1"/>
    <xf numFmtId="43" fontId="34" fillId="0" borderId="0" xfId="1" applyFont="1" applyFill="1" applyAlignment="1">
      <alignment vertical="center"/>
    </xf>
    <xf numFmtId="43" fontId="34" fillId="0" borderId="0" xfId="1" applyFont="1" applyFill="1"/>
    <xf numFmtId="43" fontId="43" fillId="0" borderId="1" xfId="0" applyNumberFormat="1" applyFont="1" applyBorder="1"/>
    <xf numFmtId="0" fontId="64" fillId="0" borderId="0" xfId="0" applyFont="1"/>
    <xf numFmtId="43" fontId="65" fillId="0" borderId="0" xfId="0" applyNumberFormat="1" applyFont="1" applyAlignment="1">
      <alignment horizontal="right" wrapText="1"/>
    </xf>
    <xf numFmtId="0" fontId="67" fillId="0" borderId="0" xfId="0" applyFont="1" applyAlignment="1">
      <alignment horizontal="center"/>
    </xf>
    <xf numFmtId="0" fontId="69" fillId="0" borderId="0" xfId="0" applyFont="1" applyAlignment="1">
      <alignment horizontal="center"/>
    </xf>
    <xf numFmtId="0" fontId="71" fillId="0" borderId="0" xfId="0" applyFont="1" applyAlignment="1">
      <alignment horizontal="right"/>
    </xf>
    <xf numFmtId="0" fontId="71" fillId="0" borderId="0" xfId="0" applyFont="1"/>
    <xf numFmtId="0" fontId="71" fillId="0" borderId="0" xfId="0" applyFont="1" applyAlignment="1">
      <alignment horizontal="right" vertical="center"/>
    </xf>
    <xf numFmtId="49" fontId="71" fillId="0" borderId="0" xfId="0" applyNumberFormat="1" applyFont="1" applyAlignment="1">
      <alignment horizontal="center" vertical="center"/>
    </xf>
    <xf numFmtId="4" fontId="0" fillId="0" borderId="0" xfId="0" applyNumberFormat="1"/>
    <xf numFmtId="0" fontId="69" fillId="0" borderId="0" xfId="0" applyFont="1" applyAlignment="1">
      <alignment horizontal="left"/>
    </xf>
    <xf numFmtId="0" fontId="73" fillId="0" borderId="0" xfId="0" applyFont="1" applyAlignment="1">
      <alignment horizontal="left"/>
    </xf>
    <xf numFmtId="49" fontId="73" fillId="0" borderId="19" xfId="0" applyNumberFormat="1" applyFont="1" applyBorder="1" applyAlignment="1">
      <alignment horizontal="center" vertical="center" wrapText="1"/>
    </xf>
    <xf numFmtId="49" fontId="66" fillId="0" borderId="19" xfId="0" applyNumberFormat="1" applyFont="1" applyBorder="1" applyAlignment="1">
      <alignment horizontal="center" vertical="center"/>
    </xf>
    <xf numFmtId="171" fontId="73" fillId="17" borderId="1" xfId="0" applyNumberFormat="1" applyFont="1" applyFill="1" applyBorder="1" applyAlignment="1">
      <alignment horizontal="right"/>
    </xf>
    <xf numFmtId="0" fontId="73" fillId="17" borderId="15" xfId="0" applyFont="1" applyFill="1" applyBorder="1" applyAlignment="1">
      <alignment horizontal="left"/>
    </xf>
    <xf numFmtId="0" fontId="73" fillId="17" borderId="17" xfId="0" applyFont="1" applyFill="1" applyBorder="1" applyAlignment="1">
      <alignment horizontal="left"/>
    </xf>
    <xf numFmtId="0" fontId="73" fillId="17" borderId="16" xfId="0" applyFont="1" applyFill="1" applyBorder="1" applyAlignment="1">
      <alignment horizontal="left"/>
    </xf>
    <xf numFmtId="172" fontId="71" fillId="0" borderId="1" xfId="0" applyNumberFormat="1" applyFont="1" applyBorder="1" applyAlignment="1">
      <alignment horizontal="right" vertical="top"/>
    </xf>
    <xf numFmtId="0" fontId="71" fillId="0" borderId="1" xfId="0" applyFont="1" applyBorder="1" applyAlignment="1">
      <alignment vertical="top" wrapText="1"/>
    </xf>
    <xf numFmtId="37" fontId="71" fillId="17" borderId="15" xfId="1" applyNumberFormat="1" applyFont="1" applyFill="1" applyBorder="1" applyAlignment="1">
      <alignment horizontal="center" vertical="center"/>
    </xf>
    <xf numFmtId="37" fontId="71" fillId="17" borderId="16" xfId="1" applyNumberFormat="1" applyFont="1" applyFill="1" applyBorder="1" applyAlignment="1">
      <alignment horizontal="center" vertical="center"/>
    </xf>
    <xf numFmtId="49" fontId="71" fillId="0" borderId="1" xfId="1" applyNumberFormat="1" applyFont="1" applyBorder="1" applyAlignment="1">
      <alignment horizontal="center" vertical="center"/>
    </xf>
    <xf numFmtId="4" fontId="71" fillId="0" borderId="1" xfId="1" applyNumberFormat="1" applyFont="1" applyFill="1" applyBorder="1" applyAlignment="1">
      <alignment horizontal="right" vertical="center"/>
    </xf>
    <xf numFmtId="4" fontId="0" fillId="0" borderId="1" xfId="0" applyNumberFormat="1" applyBorder="1" applyAlignment="1">
      <alignment horizontal="right" vertical="center"/>
    </xf>
    <xf numFmtId="49" fontId="71" fillId="0" borderId="1" xfId="1" applyNumberFormat="1" applyFont="1" applyBorder="1" applyAlignment="1">
      <alignment horizontal="center" vertical="top"/>
    </xf>
    <xf numFmtId="0" fontId="71" fillId="0" borderId="1" xfId="0" applyFont="1" applyBorder="1" applyAlignment="1">
      <alignment horizontal="right"/>
    </xf>
    <xf numFmtId="4" fontId="66" fillId="0" borderId="1" xfId="0" applyNumberFormat="1" applyFont="1" applyBorder="1" applyAlignment="1">
      <alignment horizontal="right" vertical="center"/>
    </xf>
    <xf numFmtId="4" fontId="0" fillId="18" borderId="1" xfId="0" applyNumberFormat="1" applyFill="1" applyBorder="1" applyAlignment="1">
      <alignment horizontal="right" vertical="center"/>
    </xf>
    <xf numFmtId="171" fontId="73" fillId="17" borderId="1" xfId="0" applyNumberFormat="1" applyFont="1" applyFill="1" applyBorder="1" applyAlignment="1">
      <alignment horizontal="right" vertical="top"/>
    </xf>
    <xf numFmtId="0" fontId="71" fillId="17" borderId="15" xfId="1" applyNumberFormat="1" applyFont="1" applyFill="1" applyBorder="1" applyAlignment="1">
      <alignment horizontal="center" vertical="center"/>
    </xf>
    <xf numFmtId="0" fontId="71" fillId="17" borderId="16" xfId="1" applyNumberFormat="1" applyFont="1" applyFill="1" applyBorder="1" applyAlignment="1">
      <alignment horizontal="center" vertical="center"/>
    </xf>
    <xf numFmtId="0" fontId="71" fillId="0" borderId="19" xfId="0" applyFont="1" applyBorder="1" applyAlignment="1">
      <alignment vertical="top" wrapText="1"/>
    </xf>
    <xf numFmtId="0" fontId="71" fillId="17" borderId="15" xfId="0" applyFont="1" applyFill="1" applyBorder="1" applyAlignment="1">
      <alignment horizontal="center" vertical="center"/>
    </xf>
    <xf numFmtId="0" fontId="71" fillId="17" borderId="16" xfId="0" applyFont="1" applyFill="1" applyBorder="1" applyAlignment="1">
      <alignment horizontal="center" vertical="center"/>
    </xf>
    <xf numFmtId="43" fontId="71" fillId="0" borderId="19" xfId="1" applyFont="1" applyFill="1" applyBorder="1" applyAlignment="1">
      <alignment vertical="top"/>
    </xf>
    <xf numFmtId="0" fontId="71" fillId="0" borderId="19" xfId="0" applyFont="1" applyBorder="1" applyAlignment="1">
      <alignment horizontal="center" vertical="top"/>
    </xf>
    <xf numFmtId="0" fontId="73" fillId="0" borderId="19" xfId="0" applyFont="1" applyBorder="1"/>
    <xf numFmtId="43" fontId="71" fillId="0" borderId="1" xfId="1" applyFont="1" applyFill="1" applyBorder="1" applyAlignment="1">
      <alignment vertical="top"/>
    </xf>
    <xf numFmtId="0" fontId="73" fillId="0" borderId="1" xfId="0" applyFont="1" applyBorder="1"/>
    <xf numFmtId="0" fontId="71" fillId="0" borderId="1" xfId="0" applyFont="1" applyBorder="1" applyAlignment="1">
      <alignment horizontal="right" vertical="top"/>
    </xf>
    <xf numFmtId="0" fontId="73" fillId="18" borderId="19" xfId="0" applyFont="1" applyFill="1" applyBorder="1"/>
    <xf numFmtId="39" fontId="71" fillId="17" borderId="15" xfId="1" applyNumberFormat="1" applyFont="1" applyFill="1" applyBorder="1" applyAlignment="1">
      <alignment horizontal="center" vertical="center"/>
    </xf>
    <xf numFmtId="39" fontId="71" fillId="17" borderId="16" xfId="1" applyNumberFormat="1" applyFont="1" applyFill="1" applyBorder="1" applyAlignment="1">
      <alignment horizontal="center" vertical="center"/>
    </xf>
    <xf numFmtId="0" fontId="71" fillId="0" borderId="19" xfId="0" applyFont="1" applyBorder="1" applyAlignment="1">
      <alignment horizontal="center" vertical="center"/>
    </xf>
    <xf numFmtId="171" fontId="73" fillId="17" borderId="15" xfId="0" applyNumberFormat="1" applyFont="1" applyFill="1" applyBorder="1" applyAlignment="1">
      <alignment horizontal="right" vertical="top"/>
    </xf>
    <xf numFmtId="0" fontId="73" fillId="17" borderId="15" xfId="0" applyFont="1" applyFill="1" applyBorder="1" applyAlignment="1">
      <alignment horizontal="left" vertical="top" wrapText="1"/>
    </xf>
    <xf numFmtId="0" fontId="73" fillId="17" borderId="17" xfId="0" applyFont="1" applyFill="1" applyBorder="1" applyAlignment="1">
      <alignment horizontal="left" vertical="top" wrapText="1"/>
    </xf>
    <xf numFmtId="0" fontId="73" fillId="17" borderId="16" xfId="0" applyFont="1" applyFill="1" applyBorder="1" applyAlignment="1">
      <alignment horizontal="left" vertical="top" wrapText="1"/>
    </xf>
    <xf numFmtId="0" fontId="73" fillId="0" borderId="0" xfId="0" applyFont="1" applyAlignment="1">
      <alignment horizontal="right"/>
    </xf>
    <xf numFmtId="0" fontId="73" fillId="0" borderId="19" xfId="0" applyFont="1" applyBorder="1" applyAlignment="1">
      <alignment horizontal="left" vertical="top" wrapText="1"/>
    </xf>
    <xf numFmtId="0" fontId="71" fillId="17" borderId="15" xfId="0" applyFont="1" applyFill="1" applyBorder="1" applyAlignment="1">
      <alignment horizontal="center"/>
    </xf>
    <xf numFmtId="0" fontId="71" fillId="17" borderId="16" xfId="0" applyFont="1" applyFill="1" applyBorder="1" applyAlignment="1">
      <alignment horizontal="center"/>
    </xf>
    <xf numFmtId="0" fontId="71" fillId="0" borderId="32" xfId="1" applyNumberFormat="1" applyFont="1" applyFill="1" applyBorder="1" applyAlignment="1">
      <alignment horizontal="center"/>
    </xf>
    <xf numFmtId="43" fontId="71" fillId="0" borderId="32" xfId="1" applyFont="1" applyFill="1" applyBorder="1" applyAlignment="1">
      <alignment horizontal="center"/>
    </xf>
    <xf numFmtId="0" fontId="73" fillId="0" borderId="32" xfId="0" applyFont="1" applyBorder="1"/>
    <xf numFmtId="0" fontId="71" fillId="0" borderId="1" xfId="0" applyFont="1" applyBorder="1" applyAlignment="1">
      <alignment horizontal="left" vertical="top" wrapText="1" indent="1"/>
    </xf>
    <xf numFmtId="43" fontId="71" fillId="0" borderId="15" xfId="1" applyFont="1" applyBorder="1" applyAlignment="1">
      <alignment horizontal="center" vertical="center"/>
    </xf>
    <xf numFmtId="43" fontId="71" fillId="17" borderId="15" xfId="1" applyFont="1" applyFill="1" applyBorder="1" applyAlignment="1">
      <alignment horizontal="center" vertical="top"/>
    </xf>
    <xf numFmtId="43" fontId="71" fillId="17" borderId="17" xfId="1" applyFont="1" applyFill="1" applyBorder="1" applyAlignment="1">
      <alignment horizontal="center" vertical="top"/>
    </xf>
    <xf numFmtId="43" fontId="71" fillId="17" borderId="16" xfId="1" applyFont="1" applyFill="1" applyBorder="1" applyAlignment="1">
      <alignment horizontal="center" vertical="top"/>
    </xf>
    <xf numFmtId="172" fontId="71" fillId="0" borderId="18" xfId="0" applyNumberFormat="1" applyFont="1" applyBorder="1" applyAlignment="1">
      <alignment horizontal="right" vertical="top"/>
    </xf>
    <xf numFmtId="43" fontId="71" fillId="17" borderId="37" xfId="1" applyFont="1" applyFill="1" applyBorder="1" applyAlignment="1">
      <alignment horizontal="center" vertical="top"/>
    </xf>
    <xf numFmtId="43" fontId="71" fillId="17" borderId="34" xfId="1" applyFont="1" applyFill="1" applyBorder="1" applyAlignment="1">
      <alignment horizontal="center" vertical="top"/>
    </xf>
    <xf numFmtId="0" fontId="73" fillId="0" borderId="1" xfId="0" applyFont="1" applyBorder="1" applyAlignment="1">
      <alignment horizontal="left" vertical="top" wrapText="1"/>
    </xf>
    <xf numFmtId="0" fontId="73" fillId="0" borderId="1" xfId="0" applyFont="1" applyBorder="1" applyAlignment="1">
      <alignment horizontal="right" vertical="center"/>
    </xf>
    <xf numFmtId="4" fontId="0" fillId="0" borderId="1" xfId="0" applyNumberFormat="1" applyBorder="1" applyAlignment="1">
      <alignment horizontal="center" vertical="center"/>
    </xf>
    <xf numFmtId="0" fontId="0" fillId="18" borderId="1" xfId="0" applyFill="1" applyBorder="1"/>
    <xf numFmtId="4" fontId="49" fillId="0" borderId="0" xfId="0" applyNumberFormat="1" applyFont="1" applyAlignment="1">
      <alignment horizontal="center"/>
    </xf>
    <xf numFmtId="2" fontId="71" fillId="0" borderId="1" xfId="1" applyNumberFormat="1" applyFont="1" applyBorder="1" applyAlignment="1">
      <alignment horizontal="center" vertical="center"/>
    </xf>
    <xf numFmtId="2" fontId="71" fillId="0" borderId="1" xfId="1" applyNumberFormat="1" applyFont="1" applyBorder="1" applyAlignment="1">
      <alignment horizontal="center" vertical="top"/>
    </xf>
    <xf numFmtId="172" fontId="73" fillId="0" borderId="1" xfId="0" applyNumberFormat="1" applyFont="1" applyBorder="1" applyAlignment="1">
      <alignment horizontal="right" vertical="top"/>
    </xf>
    <xf numFmtId="2" fontId="71" fillId="0" borderId="1" xfId="1" applyNumberFormat="1" applyFont="1" applyBorder="1" applyAlignment="1">
      <alignment horizontal="left" vertical="center" indent="2"/>
    </xf>
    <xf numFmtId="173" fontId="73" fillId="0" borderId="1" xfId="0" applyNumberFormat="1" applyFont="1" applyBorder="1" applyAlignment="1">
      <alignment horizontal="right" vertical="top"/>
    </xf>
    <xf numFmtId="2" fontId="71" fillId="0" borderId="1" xfId="1" applyNumberFormat="1" applyFont="1" applyFill="1" applyBorder="1" applyAlignment="1">
      <alignment horizontal="center" vertical="center"/>
    </xf>
    <xf numFmtId="2" fontId="71" fillId="0" borderId="18" xfId="0" applyNumberFormat="1" applyFont="1" applyBorder="1" applyAlignment="1">
      <alignment horizontal="left" vertical="top" wrapText="1" indent="1"/>
    </xf>
    <xf numFmtId="2" fontId="71" fillId="0" borderId="33" xfId="1" applyNumberFormat="1" applyFont="1" applyBorder="1" applyAlignment="1">
      <alignment horizontal="center" vertical="center"/>
    </xf>
    <xf numFmtId="2" fontId="71" fillId="17" borderId="33" xfId="1" applyNumberFormat="1" applyFont="1" applyFill="1" applyBorder="1" applyAlignment="1">
      <alignment horizontal="center" vertical="top"/>
    </xf>
    <xf numFmtId="2" fontId="71" fillId="17" borderId="37" xfId="1" applyNumberFormat="1" applyFont="1" applyFill="1" applyBorder="1" applyAlignment="1">
      <alignment horizontal="center" vertical="top"/>
    </xf>
    <xf numFmtId="2" fontId="71" fillId="0" borderId="1" xfId="0" applyNumberFormat="1" applyFont="1" applyBorder="1" applyAlignment="1">
      <alignment horizontal="left" vertical="top" wrapText="1" indent="1"/>
    </xf>
    <xf numFmtId="2" fontId="71" fillId="0" borderId="15" xfId="1" applyNumberFormat="1" applyFont="1" applyBorder="1" applyAlignment="1">
      <alignment horizontal="center" vertical="center"/>
    </xf>
    <xf numFmtId="2" fontId="71" fillId="17" borderId="15" xfId="1" applyNumberFormat="1" applyFont="1" applyFill="1" applyBorder="1" applyAlignment="1">
      <alignment horizontal="center" vertical="top"/>
    </xf>
    <xf numFmtId="2" fontId="71" fillId="17" borderId="17" xfId="1" applyNumberFormat="1" applyFont="1" applyFill="1" applyBorder="1" applyAlignment="1">
      <alignment horizontal="center" vertical="top"/>
    </xf>
    <xf numFmtId="2" fontId="73" fillId="0" borderId="19" xfId="0" applyNumberFormat="1" applyFont="1" applyBorder="1" applyAlignment="1">
      <alignment horizontal="left" vertical="top" wrapText="1"/>
    </xf>
    <xf numFmtId="2" fontId="71" fillId="17" borderId="15" xfId="0" applyNumberFormat="1" applyFont="1" applyFill="1" applyBorder="1" applyAlignment="1">
      <alignment horizontal="center"/>
    </xf>
    <xf numFmtId="2" fontId="71" fillId="17" borderId="16" xfId="0" applyNumberFormat="1" applyFont="1" applyFill="1" applyBorder="1" applyAlignment="1">
      <alignment horizontal="center"/>
    </xf>
    <xf numFmtId="2" fontId="71" fillId="0" borderId="32" xfId="1" applyNumberFormat="1" applyFont="1" applyFill="1" applyBorder="1" applyAlignment="1">
      <alignment horizontal="center"/>
    </xf>
    <xf numFmtId="2" fontId="73" fillId="0" borderId="32" xfId="0" applyNumberFormat="1" applyFont="1" applyBorder="1"/>
    <xf numFmtId="0" fontId="78" fillId="0" borderId="0" xfId="0" applyFont="1" applyAlignment="1">
      <alignment vertical="center"/>
    </xf>
    <xf numFmtId="43" fontId="65" fillId="0" borderId="0" xfId="0" applyNumberFormat="1" applyFont="1" applyAlignment="1">
      <alignment horizontal="right" vertical="center" wrapText="1"/>
    </xf>
    <xf numFmtId="43" fontId="79" fillId="2" borderId="0" xfId="1" applyFont="1" applyFill="1"/>
    <xf numFmtId="43" fontId="44" fillId="0" borderId="1" xfId="1" applyFont="1" applyBorder="1" applyAlignment="1">
      <alignment horizontal="center" vertical="center"/>
    </xf>
    <xf numFmtId="43" fontId="44" fillId="0" borderId="1" xfId="1" applyFont="1" applyBorder="1" applyAlignment="1">
      <alignment horizontal="center" vertical="center" wrapText="1"/>
    </xf>
    <xf numFmtId="43" fontId="43" fillId="0" borderId="1" xfId="1" applyFont="1" applyBorder="1" applyAlignment="1">
      <alignment horizontal="center"/>
    </xf>
    <xf numFmtId="43" fontId="43" fillId="0" borderId="1" xfId="1" applyFont="1" applyBorder="1" applyAlignment="1">
      <alignment horizontal="center" vertical="center"/>
    </xf>
    <xf numFmtId="43" fontId="43" fillId="0" borderId="1" xfId="1" applyFont="1" applyBorder="1" applyAlignment="1">
      <alignment horizontal="center" vertical="center" wrapText="1"/>
    </xf>
    <xf numFmtId="43" fontId="54" fillId="0" borderId="1" xfId="1" applyFont="1" applyBorder="1" applyAlignment="1">
      <alignment horizontal="center" vertical="center"/>
    </xf>
    <xf numFmtId="0" fontId="54" fillId="0" borderId="1" xfId="1" applyNumberFormat="1" applyFont="1" applyBorder="1" applyAlignment="1">
      <alignment horizontal="center" vertical="center"/>
    </xf>
    <xf numFmtId="0" fontId="54" fillId="0" borderId="1" xfId="1" applyNumberFormat="1" applyFont="1" applyBorder="1" applyAlignment="1">
      <alignment horizontal="center"/>
    </xf>
    <xf numFmtId="43" fontId="54" fillId="0" borderId="1" xfId="1" applyFont="1" applyBorder="1" applyAlignment="1">
      <alignment horizontal="center"/>
    </xf>
    <xf numFmtId="43" fontId="54" fillId="3" borderId="1" xfId="1" applyFont="1" applyFill="1" applyBorder="1" applyAlignment="1">
      <alignment horizontal="center"/>
    </xf>
    <xf numFmtId="0" fontId="44" fillId="4" borderId="1" xfId="0" applyFont="1" applyFill="1" applyBorder="1" applyAlignment="1">
      <alignment horizontal="center" vertical="center"/>
    </xf>
    <xf numFmtId="0" fontId="44" fillId="4" borderId="1" xfId="0" applyFont="1" applyFill="1" applyBorder="1" applyAlignment="1">
      <alignment horizontal="left" vertical="center" wrapText="1"/>
    </xf>
    <xf numFmtId="43" fontId="43" fillId="4" borderId="1" xfId="0" applyNumberFormat="1" applyFont="1" applyFill="1" applyBorder="1" applyAlignment="1">
      <alignment horizontal="center" vertical="center"/>
    </xf>
    <xf numFmtId="2" fontId="43" fillId="4" borderId="1" xfId="0" applyNumberFormat="1" applyFont="1" applyFill="1" applyBorder="1" applyAlignment="1">
      <alignment horizontal="center" vertical="center"/>
    </xf>
    <xf numFmtId="43" fontId="43" fillId="4" borderId="1" xfId="0" applyNumberFormat="1" applyFont="1" applyFill="1" applyBorder="1" applyAlignment="1">
      <alignment vertical="center"/>
    </xf>
    <xf numFmtId="43" fontId="54" fillId="4" borderId="1" xfId="1" applyFont="1" applyFill="1" applyBorder="1" applyAlignment="1">
      <alignment horizontal="right" vertical="center" indent="1"/>
    </xf>
    <xf numFmtId="43" fontId="43" fillId="4" borderId="1" xfId="1" applyFont="1" applyFill="1" applyBorder="1" applyAlignment="1">
      <alignment horizontal="right" vertical="center" indent="1"/>
    </xf>
    <xf numFmtId="43" fontId="54" fillId="4" borderId="1" xfId="1" applyFont="1" applyFill="1" applyBorder="1" applyAlignment="1">
      <alignment horizontal="right" vertical="center" indent="2"/>
    </xf>
    <xf numFmtId="43" fontId="43" fillId="4" borderId="1" xfId="0" applyNumberFormat="1" applyFont="1" applyFill="1" applyBorder="1"/>
    <xf numFmtId="0" fontId="43" fillId="0" borderId="1" xfId="0" applyFont="1" applyBorder="1" applyAlignment="1">
      <alignment horizontal="left" vertical="center" indent="2"/>
    </xf>
    <xf numFmtId="0" fontId="43" fillId="0" borderId="1" xfId="1" applyNumberFormat="1" applyFont="1" applyFill="1" applyBorder="1" applyAlignment="1">
      <alignment vertical="center" wrapText="1"/>
    </xf>
    <xf numFmtId="43" fontId="43" fillId="0" borderId="1" xfId="1" applyFont="1" applyFill="1" applyBorder="1" applyAlignment="1">
      <alignment horizontal="center" vertical="center"/>
    </xf>
    <xf numFmtId="2" fontId="43" fillId="0" borderId="1" xfId="0" applyNumberFormat="1" applyFont="1" applyBorder="1" applyAlignment="1">
      <alignment horizontal="center" vertical="center"/>
    </xf>
    <xf numFmtId="43" fontId="43" fillId="0" borderId="1" xfId="0" applyNumberFormat="1" applyFont="1" applyBorder="1" applyAlignment="1">
      <alignment horizontal="center" vertical="center"/>
    </xf>
    <xf numFmtId="43" fontId="43" fillId="0" borderId="1" xfId="1" applyFont="1" applyBorder="1" applyAlignment="1">
      <alignment vertical="center"/>
    </xf>
    <xf numFmtId="43" fontId="43" fillId="0" borderId="1" xfId="1" applyFont="1" applyFill="1" applyBorder="1" applyAlignment="1">
      <alignment horizontal="right" vertical="center"/>
    </xf>
    <xf numFmtId="43" fontId="80" fillId="0" borderId="1" xfId="1" applyFont="1" applyBorder="1" applyAlignment="1">
      <alignment horizontal="right" vertical="center"/>
    </xf>
    <xf numFmtId="0" fontId="43" fillId="0" borderId="1" xfId="0" applyFont="1" applyBorder="1" applyAlignment="1">
      <alignment vertical="center" wrapText="1"/>
    </xf>
    <xf numFmtId="0" fontId="44" fillId="0" borderId="1" xfId="0" applyFont="1" applyBorder="1" applyAlignment="1">
      <alignment horizontal="left" vertical="center"/>
    </xf>
    <xf numFmtId="0" fontId="43" fillId="0" borderId="1" xfId="0" applyFont="1" applyBorder="1" applyAlignment="1">
      <alignment horizontal="left" vertical="center" wrapText="1" indent="1"/>
    </xf>
    <xf numFmtId="43" fontId="43" fillId="0" borderId="1" xfId="5" applyNumberFormat="1" applyFont="1" applyFill="1" applyBorder="1" applyAlignment="1">
      <alignment vertical="center"/>
    </xf>
    <xf numFmtId="43" fontId="43" fillId="0" borderId="1" xfId="1" applyFont="1" applyFill="1" applyBorder="1" applyAlignment="1">
      <alignment horizontal="right" vertical="center" indent="1"/>
    </xf>
    <xf numFmtId="43" fontId="57" fillId="0" borderId="1" xfId="0" applyNumberFormat="1" applyFont="1" applyBorder="1" applyAlignment="1">
      <alignment vertical="center"/>
    </xf>
    <xf numFmtId="43" fontId="44" fillId="2" borderId="1" xfId="1" applyFont="1" applyFill="1" applyBorder="1" applyAlignment="1">
      <alignment vertical="center"/>
    </xf>
    <xf numFmtId="43" fontId="44" fillId="2" borderId="1" xfId="1" applyFont="1" applyFill="1" applyBorder="1" applyAlignment="1">
      <alignment horizontal="right" vertical="center" indent="2"/>
    </xf>
    <xf numFmtId="43" fontId="44" fillId="0" borderId="1" xfId="0" applyNumberFormat="1" applyFont="1" applyBorder="1" applyAlignment="1">
      <alignment horizontal="center" vertical="center"/>
    </xf>
    <xf numFmtId="0" fontId="44" fillId="4" borderId="1" xfId="0" applyFont="1" applyFill="1" applyBorder="1" applyAlignment="1">
      <alignment vertical="center" wrapText="1"/>
    </xf>
    <xf numFmtId="43" fontId="43" fillId="4" borderId="1" xfId="1" applyFont="1" applyFill="1" applyBorder="1" applyAlignment="1">
      <alignment horizontal="center" vertical="center"/>
    </xf>
    <xf numFmtId="43" fontId="43" fillId="4" borderId="1" xfId="5" applyNumberFormat="1" applyFont="1" applyFill="1" applyBorder="1" applyAlignment="1">
      <alignment horizontal="right" vertical="center" indent="1"/>
    </xf>
    <xf numFmtId="43" fontId="43" fillId="4" borderId="1" xfId="1" applyFont="1" applyFill="1" applyBorder="1" applyAlignment="1">
      <alignment horizontal="right" vertical="center" indent="2"/>
    </xf>
    <xf numFmtId="0" fontId="81" fillId="0" borderId="1" xfId="0" applyFont="1" applyBorder="1" applyAlignment="1">
      <alignment vertical="center" wrapText="1"/>
    </xf>
    <xf numFmtId="2" fontId="43" fillId="0" borderId="1" xfId="1" applyNumberFormat="1" applyFont="1" applyFill="1" applyBorder="1" applyAlignment="1">
      <alignment horizontal="center" vertical="center"/>
    </xf>
    <xf numFmtId="43" fontId="43" fillId="0" borderId="1" xfId="1" applyFont="1" applyFill="1" applyBorder="1" applyAlignment="1">
      <alignment vertical="center"/>
    </xf>
    <xf numFmtId="43" fontId="80" fillId="0" borderId="1" xfId="1" applyFont="1" applyFill="1" applyBorder="1" applyAlignment="1">
      <alignment horizontal="right" vertical="center"/>
    </xf>
    <xf numFmtId="0" fontId="43" fillId="0" borderId="1" xfId="0" applyFont="1" applyBorder="1" applyAlignment="1">
      <alignment horizontal="left" vertical="top"/>
    </xf>
    <xf numFmtId="0" fontId="43" fillId="0" borderId="1" xfId="0" applyFont="1" applyBorder="1" applyAlignment="1">
      <alignment horizontal="left" vertical="center" wrapText="1"/>
    </xf>
    <xf numFmtId="0" fontId="44" fillId="0" borderId="1" xfId="0" applyFont="1" applyBorder="1" applyAlignment="1">
      <alignment horizontal="left" vertical="center" indent="2"/>
    </xf>
    <xf numFmtId="0" fontId="53" fillId="0" borderId="1" xfId="1" applyNumberFormat="1" applyFont="1" applyFill="1" applyBorder="1" applyAlignment="1">
      <alignment horizontal="left" vertical="center" wrapText="1" indent="1"/>
    </xf>
    <xf numFmtId="43" fontId="43" fillId="0" borderId="1" xfId="1" applyFont="1" applyBorder="1" applyAlignment="1">
      <alignment horizontal="right" vertical="center"/>
    </xf>
    <xf numFmtId="0" fontId="80" fillId="0" borderId="1" xfId="1" applyNumberFormat="1" applyFont="1" applyFill="1" applyBorder="1" applyAlignment="1">
      <alignment horizontal="left" vertical="center" wrapText="1" indent="3"/>
    </xf>
    <xf numFmtId="0" fontId="43" fillId="0" borderId="1" xfId="0" applyFont="1" applyBorder="1" applyAlignment="1">
      <alignment horizontal="left" vertical="center" wrapText="1" indent="2"/>
    </xf>
    <xf numFmtId="43" fontId="81" fillId="0" borderId="1" xfId="1" applyFont="1" applyBorder="1" applyAlignment="1">
      <alignment vertical="center"/>
    </xf>
    <xf numFmtId="0" fontId="81" fillId="0" borderId="1" xfId="1" applyNumberFormat="1" applyFont="1" applyFill="1" applyBorder="1" applyAlignment="1">
      <alignment horizontal="left" vertical="center" indent="4"/>
    </xf>
    <xf numFmtId="0" fontId="43" fillId="0" borderId="1" xfId="0" applyFont="1" applyBorder="1" applyAlignment="1">
      <alignment horizontal="left" vertical="center" indent="3"/>
    </xf>
    <xf numFmtId="43" fontId="81" fillId="0" borderId="1" xfId="1" applyFont="1" applyBorder="1" applyAlignment="1">
      <alignment horizontal="center" vertical="center"/>
    </xf>
    <xf numFmtId="0" fontId="81" fillId="0" borderId="1" xfId="0" applyFont="1" applyBorder="1" applyAlignment="1">
      <alignment horizontal="left" vertical="center" wrapText="1" indent="3"/>
    </xf>
    <xf numFmtId="0" fontId="81" fillId="0" borderId="1" xfId="0" applyFont="1" applyBorder="1" applyAlignment="1">
      <alignment horizontal="left" vertical="center" wrapText="1" indent="2"/>
    </xf>
    <xf numFmtId="43" fontId="80" fillId="0" borderId="1" xfId="1" applyFont="1" applyBorder="1" applyAlignment="1">
      <alignment vertical="center"/>
    </xf>
    <xf numFmtId="43" fontId="81" fillId="3" borderId="1" xfId="1" applyFont="1" applyFill="1" applyBorder="1" applyAlignment="1">
      <alignment vertical="center"/>
    </xf>
    <xf numFmtId="43" fontId="80" fillId="3" borderId="1" xfId="1" applyFont="1" applyFill="1" applyBorder="1" applyAlignment="1">
      <alignment vertical="center"/>
    </xf>
    <xf numFmtId="0" fontId="43" fillId="0" borderId="1" xfId="1" applyNumberFormat="1" applyFont="1" applyBorder="1" applyAlignment="1">
      <alignment horizontal="left" vertical="center" indent="2"/>
    </xf>
    <xf numFmtId="0" fontId="81" fillId="0" borderId="1" xfId="1" applyNumberFormat="1" applyFont="1" applyBorder="1" applyAlignment="1">
      <alignment horizontal="left" vertical="center" wrapText="1"/>
    </xf>
    <xf numFmtId="0" fontId="53" fillId="0" borderId="1" xfId="1" applyNumberFormat="1" applyFont="1" applyBorder="1" applyAlignment="1">
      <alignment horizontal="left" vertical="center" wrapText="1" indent="1"/>
    </xf>
    <xf numFmtId="0" fontId="81" fillId="0" borderId="1" xfId="1" applyNumberFormat="1" applyFont="1" applyBorder="1" applyAlignment="1">
      <alignment horizontal="left" vertical="center" wrapText="1" indent="1"/>
    </xf>
    <xf numFmtId="0" fontId="81" fillId="3" borderId="1" xfId="0" applyFont="1" applyFill="1" applyBorder="1" applyAlignment="1">
      <alignment horizontal="left" vertical="center" wrapText="1" indent="2"/>
    </xf>
    <xf numFmtId="43" fontId="44" fillId="0" borderId="1" xfId="1" applyFont="1" applyBorder="1" applyAlignment="1">
      <alignment horizontal="right" vertical="center"/>
    </xf>
    <xf numFmtId="0" fontId="44" fillId="0" borderId="1" xfId="1" applyNumberFormat="1" applyFont="1" applyBorder="1" applyAlignment="1">
      <alignment horizontal="left" vertical="center" indent="2"/>
    </xf>
    <xf numFmtId="0" fontId="43" fillId="0" borderId="1" xfId="1" applyNumberFormat="1" applyFont="1" applyFill="1" applyBorder="1" applyAlignment="1">
      <alignment horizontal="left" vertical="center" indent="3"/>
    </xf>
    <xf numFmtId="43" fontId="57" fillId="0" borderId="1" xfId="0" applyNumberFormat="1" applyFont="1" applyBorder="1"/>
    <xf numFmtId="0" fontId="80" fillId="0" borderId="1" xfId="0" applyFont="1" applyBorder="1" applyAlignment="1">
      <alignment vertical="center"/>
    </xf>
    <xf numFmtId="169" fontId="44" fillId="0" borderId="1" xfId="1" applyNumberFormat="1" applyFont="1" applyBorder="1" applyAlignment="1">
      <alignment horizontal="left" vertical="center" indent="2"/>
    </xf>
    <xf numFmtId="0" fontId="80" fillId="0" borderId="1" xfId="1" applyNumberFormat="1" applyFont="1" applyFill="1" applyBorder="1" applyAlignment="1">
      <alignment horizontal="left" vertical="center" wrapText="1" indent="1"/>
    </xf>
    <xf numFmtId="43" fontId="43" fillId="3" borderId="1" xfId="0" applyNumberFormat="1" applyFont="1" applyFill="1" applyBorder="1" applyAlignment="1">
      <alignment horizontal="center" vertical="center"/>
    </xf>
    <xf numFmtId="0" fontId="43" fillId="0" borderId="1" xfId="1" applyNumberFormat="1" applyFont="1" applyBorder="1" applyAlignment="1">
      <alignment horizontal="left" vertical="center"/>
    </xf>
    <xf numFmtId="0" fontId="81" fillId="0" borderId="1" xfId="1" applyNumberFormat="1" applyFont="1" applyBorder="1" applyAlignment="1">
      <alignment vertical="center"/>
    </xf>
    <xf numFmtId="43" fontId="81" fillId="0" borderId="1" xfId="1" applyFont="1" applyBorder="1" applyAlignment="1">
      <alignment horizontal="right" vertical="center"/>
    </xf>
    <xf numFmtId="43" fontId="43" fillId="0" borderId="1" xfId="1" applyFont="1" applyBorder="1" applyAlignment="1">
      <alignment horizontal="right" vertical="center" indent="1"/>
    </xf>
    <xf numFmtId="0" fontId="43" fillId="0" borderId="1" xfId="28" applyFont="1" applyBorder="1" applyAlignment="1">
      <alignment horizontal="left" vertical="top" wrapText="1"/>
    </xf>
    <xf numFmtId="0" fontId="43" fillId="0" borderId="1" xfId="1" applyNumberFormat="1" applyFont="1" applyFill="1" applyBorder="1" applyAlignment="1">
      <alignment horizontal="left" vertical="center" indent="2"/>
    </xf>
    <xf numFmtId="43" fontId="43" fillId="0" borderId="1" xfId="0" applyNumberFormat="1" applyFont="1" applyBorder="1" applyAlignment="1">
      <alignment vertical="center"/>
    </xf>
    <xf numFmtId="43" fontId="54" fillId="0" borderId="1" xfId="1" applyFont="1" applyFill="1" applyBorder="1" applyAlignment="1">
      <alignment horizontal="right" vertical="center" indent="1"/>
    </xf>
    <xf numFmtId="0" fontId="81" fillId="0" borderId="1" xfId="0" applyFont="1" applyBorder="1" applyAlignment="1">
      <alignment horizontal="left" vertical="center" wrapText="1" indent="1"/>
    </xf>
    <xf numFmtId="43" fontId="43" fillId="0" borderId="1" xfId="6" applyNumberFormat="1" applyFont="1" applyFill="1" applyBorder="1" applyAlignment="1">
      <alignment horizontal="right" vertical="center" indent="1"/>
    </xf>
    <xf numFmtId="169" fontId="43" fillId="0" borderId="1" xfId="1" applyNumberFormat="1" applyFont="1" applyFill="1" applyBorder="1" applyAlignment="1">
      <alignment horizontal="left" vertical="center" indent="2"/>
    </xf>
    <xf numFmtId="43" fontId="43" fillId="0" borderId="1" xfId="1" applyFont="1" applyFill="1" applyBorder="1" applyAlignment="1">
      <alignment horizontal="right" vertical="center" indent="2"/>
    </xf>
    <xf numFmtId="43" fontId="57" fillId="0" borderId="1" xfId="0" applyNumberFormat="1" applyFont="1" applyBorder="1" applyAlignment="1">
      <alignment horizontal="center"/>
    </xf>
    <xf numFmtId="0" fontId="81" fillId="0" borderId="1" xfId="0" applyFont="1" applyBorder="1" applyAlignment="1">
      <alignment horizontal="left" vertical="top" wrapText="1" indent="2"/>
    </xf>
    <xf numFmtId="0" fontId="43" fillId="0" borderId="1" xfId="1" applyNumberFormat="1" applyFont="1" applyFill="1" applyBorder="1" applyAlignment="1">
      <alignment horizontal="left" vertical="center" wrapText="1" indent="1"/>
    </xf>
    <xf numFmtId="2" fontId="44" fillId="0" borderId="1" xfId="1" applyNumberFormat="1" applyFont="1" applyFill="1" applyBorder="1" applyAlignment="1">
      <alignment horizontal="left" vertical="center" indent="2"/>
    </xf>
    <xf numFmtId="0" fontId="43" fillId="0" borderId="1" xfId="1" applyNumberFormat="1" applyFont="1" applyFill="1" applyBorder="1" applyAlignment="1">
      <alignment horizontal="left" vertical="center" wrapText="1" indent="2"/>
    </xf>
    <xf numFmtId="0" fontId="44" fillId="0" borderId="1" xfId="0" applyFont="1" applyBorder="1" applyAlignment="1">
      <alignment horizontal="left" vertical="center" indent="1"/>
    </xf>
    <xf numFmtId="0" fontId="43" fillId="0" borderId="1" xfId="0" applyFont="1" applyBorder="1" applyAlignment="1">
      <alignment horizontal="left" wrapText="1"/>
    </xf>
    <xf numFmtId="2" fontId="44" fillId="0" borderId="1" xfId="1" applyNumberFormat="1" applyFont="1" applyBorder="1" applyAlignment="1">
      <alignment horizontal="left" vertical="center" indent="2"/>
    </xf>
    <xf numFmtId="0" fontId="43" fillId="3" borderId="1" xfId="0" applyFont="1" applyFill="1" applyBorder="1" applyAlignment="1">
      <alignment horizontal="left" wrapText="1"/>
    </xf>
    <xf numFmtId="0" fontId="53" fillId="0" borderId="1" xfId="1" applyNumberFormat="1" applyFont="1" applyFill="1" applyBorder="1" applyAlignment="1">
      <alignment horizontal="left" vertical="center" wrapText="1"/>
    </xf>
    <xf numFmtId="43" fontId="81" fillId="0" borderId="1" xfId="1" applyFont="1" applyFill="1" applyBorder="1" applyAlignment="1">
      <alignment horizontal="right" vertical="center"/>
    </xf>
    <xf numFmtId="43" fontId="81" fillId="0" borderId="1" xfId="1" applyFont="1" applyFill="1" applyBorder="1" applyAlignment="1">
      <alignment horizontal="center" vertical="center"/>
    </xf>
    <xf numFmtId="0" fontId="81" fillId="0" borderId="1" xfId="1" applyNumberFormat="1" applyFont="1" applyFill="1" applyBorder="1" applyAlignment="1">
      <alignment horizontal="left" vertical="top" wrapText="1"/>
    </xf>
    <xf numFmtId="0" fontId="43" fillId="0" borderId="1" xfId="1" applyNumberFormat="1" applyFont="1" applyFill="1" applyBorder="1" applyAlignment="1">
      <alignment horizontal="left" vertical="center" wrapText="1"/>
    </xf>
    <xf numFmtId="0" fontId="81" fillId="0" borderId="1" xfId="1" applyNumberFormat="1" applyFont="1" applyFill="1" applyBorder="1" applyAlignment="1">
      <alignment horizontal="left" vertical="center" wrapText="1"/>
    </xf>
    <xf numFmtId="43" fontId="82" fillId="0" borderId="1" xfId="0" applyNumberFormat="1" applyFont="1" applyBorder="1" applyAlignment="1">
      <alignment horizontal="right" vertical="center"/>
    </xf>
    <xf numFmtId="43" fontId="82" fillId="0" borderId="1" xfId="0" applyNumberFormat="1" applyFont="1" applyBorder="1" applyAlignment="1">
      <alignment vertical="center"/>
    </xf>
    <xf numFmtId="0" fontId="81" fillId="3" borderId="1" xfId="1" applyNumberFormat="1" applyFont="1" applyFill="1" applyBorder="1" applyAlignment="1">
      <alignment horizontal="left" vertical="top" wrapText="1"/>
    </xf>
    <xf numFmtId="43" fontId="81" fillId="3" borderId="1" xfId="1" applyFont="1" applyFill="1" applyBorder="1" applyAlignment="1">
      <alignment horizontal="right" vertical="center"/>
    </xf>
    <xf numFmtId="0" fontId="44" fillId="0" borderId="1" xfId="26" applyFont="1" applyBorder="1" applyAlignment="1">
      <alignment horizontal="left" vertical="center" wrapText="1"/>
    </xf>
    <xf numFmtId="0" fontId="43" fillId="0" borderId="1" xfId="1" applyNumberFormat="1" applyFont="1" applyBorder="1" applyAlignment="1">
      <alignment horizontal="left" vertical="center" wrapText="1"/>
    </xf>
    <xf numFmtId="3" fontId="65" fillId="13" borderId="1" xfId="0" applyNumberFormat="1" applyFont="1" applyFill="1" applyBorder="1" applyAlignment="1">
      <alignment horizontal="center" vertical="center"/>
    </xf>
    <xf numFmtId="0" fontId="65" fillId="13" borderId="1" xfId="0" applyFont="1" applyFill="1" applyBorder="1" applyAlignment="1">
      <alignment horizontal="left" vertical="center" wrapText="1"/>
    </xf>
    <xf numFmtId="43" fontId="83" fillId="13" borderId="1" xfId="0" applyNumberFormat="1" applyFont="1" applyFill="1" applyBorder="1" applyAlignment="1">
      <alignment horizontal="center" vertical="center"/>
    </xf>
    <xf numFmtId="2" fontId="83" fillId="13" borderId="1" xfId="0" applyNumberFormat="1" applyFont="1" applyFill="1" applyBorder="1" applyAlignment="1">
      <alignment horizontal="center" vertical="center"/>
    </xf>
    <xf numFmtId="43" fontId="83" fillId="13" borderId="1" xfId="0" applyNumberFormat="1" applyFont="1" applyFill="1" applyBorder="1" applyAlignment="1">
      <alignment vertical="center"/>
    </xf>
    <xf numFmtId="43" fontId="84" fillId="13" borderId="1" xfId="0" applyNumberFormat="1" applyFont="1" applyFill="1" applyBorder="1" applyAlignment="1">
      <alignment horizontal="right" vertical="center"/>
    </xf>
    <xf numFmtId="43" fontId="83" fillId="13" borderId="1" xfId="0" applyNumberFormat="1" applyFont="1" applyFill="1" applyBorder="1" applyAlignment="1">
      <alignment horizontal="right" vertical="center"/>
    </xf>
    <xf numFmtId="43" fontId="83" fillId="13" borderId="1" xfId="0" applyNumberFormat="1" applyFont="1" applyFill="1" applyBorder="1"/>
    <xf numFmtId="0" fontId="83" fillId="0" borderId="1" xfId="0" applyFont="1" applyBorder="1" applyAlignment="1">
      <alignment horizontal="left" vertical="center"/>
    </xf>
    <xf numFmtId="0" fontId="83" fillId="0" borderId="1" xfId="0" applyFont="1" applyBorder="1" applyAlignment="1">
      <alignment horizontal="left" vertical="center" wrapText="1"/>
    </xf>
    <xf numFmtId="43" fontId="83" fillId="0" borderId="1" xfId="0" applyNumberFormat="1" applyFont="1" applyBorder="1" applyAlignment="1">
      <alignment horizontal="center" vertical="center"/>
    </xf>
    <xf numFmtId="0" fontId="83" fillId="0" borderId="1" xfId="0" applyFont="1" applyBorder="1" applyAlignment="1">
      <alignment horizontal="left" vertical="top" wrapText="1"/>
    </xf>
    <xf numFmtId="43" fontId="82" fillId="0" borderId="1" xfId="0" applyNumberFormat="1" applyFont="1" applyBorder="1" applyAlignment="1">
      <alignment horizontal="center" vertical="center"/>
    </xf>
    <xf numFmtId="0" fontId="65" fillId="0" borderId="1" xfId="0" applyFont="1" applyBorder="1" applyAlignment="1">
      <alignment horizontal="left" vertical="center" wrapText="1"/>
    </xf>
    <xf numFmtId="2" fontId="83" fillId="0" borderId="1" xfId="0" applyNumberFormat="1" applyFont="1" applyBorder="1" applyAlignment="1">
      <alignment horizontal="center" vertical="center"/>
    </xf>
    <xf numFmtId="43" fontId="83" fillId="0" borderId="1" xfId="0" applyNumberFormat="1" applyFont="1" applyBorder="1" applyAlignment="1">
      <alignment vertical="center"/>
    </xf>
    <xf numFmtId="43" fontId="84" fillId="0" borderId="1" xfId="0" applyNumberFormat="1" applyFont="1" applyBorder="1" applyAlignment="1">
      <alignment horizontal="right" vertical="center"/>
    </xf>
    <xf numFmtId="43" fontId="83" fillId="0" borderId="1" xfId="0" applyNumberFormat="1" applyFont="1" applyBorder="1" applyAlignment="1">
      <alignment horizontal="right" vertical="center"/>
    </xf>
    <xf numFmtId="43" fontId="65" fillId="14" borderId="1" xfId="0" applyNumberFormat="1" applyFont="1" applyFill="1" applyBorder="1" applyAlignment="1">
      <alignment vertical="center"/>
    </xf>
    <xf numFmtId="43" fontId="65" fillId="14" borderId="1" xfId="0" applyNumberFormat="1" applyFont="1" applyFill="1" applyBorder="1" applyAlignment="1">
      <alignment horizontal="right" vertical="center"/>
    </xf>
    <xf numFmtId="43" fontId="83" fillId="0" borderId="1" xfId="0" applyNumberFormat="1" applyFont="1" applyBorder="1"/>
    <xf numFmtId="0" fontId="65" fillId="13" borderId="1" xfId="0" applyFont="1" applyFill="1" applyBorder="1" applyAlignment="1">
      <alignment horizontal="center" vertical="center"/>
    </xf>
    <xf numFmtId="0" fontId="58" fillId="13" borderId="1" xfId="0" applyFont="1" applyFill="1" applyBorder="1" applyAlignment="1">
      <alignment horizontal="left" vertical="center" wrapText="1"/>
    </xf>
    <xf numFmtId="0" fontId="65" fillId="0" borderId="1" xfId="0" applyFont="1" applyBorder="1" applyAlignment="1">
      <alignment horizontal="center" vertical="center"/>
    </xf>
    <xf numFmtId="0" fontId="65" fillId="13" borderId="1" xfId="4" applyFont="1" applyFill="1" applyBorder="1" applyAlignment="1">
      <alignment horizontal="center" vertical="center"/>
    </xf>
    <xf numFmtId="0" fontId="65" fillId="13" borderId="1" xfId="4" applyFont="1" applyFill="1" applyBorder="1" applyAlignment="1">
      <alignment horizontal="left" wrapText="1"/>
    </xf>
    <xf numFmtId="43" fontId="83" fillId="13" borderId="1" xfId="4" applyNumberFormat="1" applyFont="1" applyFill="1" applyBorder="1" applyAlignment="1">
      <alignment horizontal="center" vertical="center"/>
    </xf>
    <xf numFmtId="2" fontId="83" fillId="13" borderId="1" xfId="4" applyNumberFormat="1" applyFont="1" applyFill="1" applyBorder="1" applyAlignment="1">
      <alignment horizontal="center" vertical="center"/>
    </xf>
    <xf numFmtId="43" fontId="83" fillId="13" borderId="1" xfId="4" applyNumberFormat="1" applyFont="1" applyFill="1" applyBorder="1" applyAlignment="1">
      <alignment horizontal="right" vertical="center"/>
    </xf>
    <xf numFmtId="0" fontId="44" fillId="4" borderId="1" xfId="1" applyNumberFormat="1" applyFont="1" applyFill="1" applyBorder="1" applyAlignment="1">
      <alignment horizontal="center" vertical="center"/>
    </xf>
    <xf numFmtId="0" fontId="53" fillId="4" borderId="1" xfId="1" applyNumberFormat="1" applyFont="1" applyFill="1" applyBorder="1" applyAlignment="1">
      <alignment horizontal="left" vertical="center"/>
    </xf>
    <xf numFmtId="43" fontId="43" fillId="4" borderId="1" xfId="1" applyFont="1" applyFill="1" applyBorder="1" applyAlignment="1">
      <alignment horizontal="right"/>
    </xf>
    <xf numFmtId="43" fontId="81" fillId="4" borderId="1" xfId="1" applyFont="1" applyFill="1" applyBorder="1" applyAlignment="1">
      <alignment horizontal="center" vertical="center"/>
    </xf>
    <xf numFmtId="43" fontId="81" fillId="4" borderId="1" xfId="1" applyFont="1" applyFill="1" applyBorder="1" applyAlignment="1">
      <alignment horizontal="right" vertical="center"/>
    </xf>
    <xf numFmtId="43" fontId="43" fillId="4" borderId="1" xfId="1" applyFont="1" applyFill="1" applyBorder="1" applyAlignment="1">
      <alignment horizontal="right" vertical="center"/>
    </xf>
    <xf numFmtId="0" fontId="53" fillId="3" borderId="1" xfId="0" applyFont="1" applyFill="1" applyBorder="1" applyAlignment="1">
      <alignment horizontal="left" vertical="top" indent="1"/>
    </xf>
    <xf numFmtId="43" fontId="43" fillId="0" borderId="1" xfId="1" applyFont="1" applyBorder="1"/>
    <xf numFmtId="43" fontId="43" fillId="0" borderId="1" xfId="1" applyFont="1" applyBorder="1" applyAlignment="1">
      <alignment horizontal="right" vertical="center" indent="2"/>
    </xf>
    <xf numFmtId="0" fontId="81" fillId="0" borderId="1" xfId="0" applyFont="1" applyBorder="1" applyAlignment="1">
      <alignment horizontal="left" vertical="top" indent="2"/>
    </xf>
    <xf numFmtId="43" fontId="43" fillId="0" borderId="1" xfId="1" applyFont="1" applyFill="1" applyBorder="1"/>
    <xf numFmtId="0" fontId="81" fillId="0" borderId="1" xfId="1" applyNumberFormat="1" applyFont="1" applyFill="1" applyBorder="1" applyAlignment="1">
      <alignment horizontal="left" wrapText="1"/>
    </xf>
    <xf numFmtId="43" fontId="43" fillId="0" borderId="1" xfId="1" applyFont="1" applyFill="1" applyBorder="1" applyAlignment="1"/>
    <xf numFmtId="43" fontId="81" fillId="0" borderId="1" xfId="1" applyFont="1" applyFill="1" applyBorder="1" applyAlignment="1">
      <alignment horizontal="center"/>
    </xf>
    <xf numFmtId="43" fontId="43" fillId="0" borderId="1" xfId="1" applyFont="1" applyFill="1" applyBorder="1" applyAlignment="1">
      <alignment horizontal="center"/>
    </xf>
    <xf numFmtId="0" fontId="86" fillId="0" borderId="1" xfId="1" applyNumberFormat="1" applyFont="1" applyFill="1" applyBorder="1" applyAlignment="1">
      <alignment horizontal="left" indent="2"/>
    </xf>
    <xf numFmtId="43" fontId="86" fillId="0" borderId="1" xfId="1" applyFont="1" applyBorder="1" applyAlignment="1">
      <alignment horizontal="center"/>
    </xf>
    <xf numFmtId="43" fontId="80" fillId="0" borderId="1" xfId="1" applyFont="1" applyBorder="1" applyAlignment="1">
      <alignment horizontal="center" vertical="center"/>
    </xf>
    <xf numFmtId="43" fontId="85" fillId="2" borderId="1" xfId="1" applyFont="1" applyFill="1" applyBorder="1" applyAlignment="1">
      <alignment horizontal="center" vertical="center"/>
    </xf>
    <xf numFmtId="0" fontId="53" fillId="0" borderId="1" xfId="0" applyFont="1" applyBorder="1" applyAlignment="1">
      <alignment horizontal="left" vertical="top" indent="1"/>
    </xf>
    <xf numFmtId="0" fontId="53" fillId="3" borderId="1" xfId="1" applyNumberFormat="1" applyFont="1" applyFill="1" applyBorder="1" applyAlignment="1">
      <alignment horizontal="left" vertical="center" indent="2"/>
    </xf>
    <xf numFmtId="0" fontId="53" fillId="3" borderId="1" xfId="1" applyNumberFormat="1" applyFont="1" applyFill="1" applyBorder="1" applyAlignment="1">
      <alignment horizontal="left" vertical="top" indent="1"/>
    </xf>
    <xf numFmtId="43" fontId="81" fillId="3" borderId="1" xfId="1" applyFont="1" applyFill="1" applyBorder="1" applyAlignment="1">
      <alignment horizontal="right"/>
    </xf>
    <xf numFmtId="43" fontId="81" fillId="3" borderId="1" xfId="1" applyFont="1" applyFill="1" applyBorder="1" applyAlignment="1">
      <alignment horizontal="center" vertical="center"/>
    </xf>
    <xf numFmtId="43" fontId="81" fillId="3" borderId="1" xfId="1" applyFont="1" applyFill="1" applyBorder="1" applyAlignment="1">
      <alignment horizontal="right" vertical="center" indent="1"/>
    </xf>
    <xf numFmtId="43" fontId="81" fillId="3" borderId="1" xfId="1" applyFont="1" applyFill="1" applyBorder="1" applyAlignment="1">
      <alignment horizontal="right" vertical="center" indent="2"/>
    </xf>
    <xf numFmtId="0" fontId="86" fillId="3" borderId="1" xfId="1" applyNumberFormat="1" applyFont="1" applyFill="1" applyBorder="1" applyAlignment="1">
      <alignment horizontal="left" vertical="center" wrapText="1" indent="3"/>
    </xf>
    <xf numFmtId="0" fontId="81" fillId="3" borderId="1" xfId="1" applyNumberFormat="1" applyFont="1" applyFill="1" applyBorder="1" applyAlignment="1">
      <alignment horizontal="left" vertical="top" indent="2"/>
    </xf>
    <xf numFmtId="2" fontId="81" fillId="3" borderId="1" xfId="1" applyNumberFormat="1" applyFont="1" applyFill="1" applyBorder="1" applyAlignment="1">
      <alignment horizontal="center" vertical="center"/>
    </xf>
    <xf numFmtId="43" fontId="81" fillId="3" borderId="1" xfId="0" applyNumberFormat="1" applyFont="1" applyFill="1" applyBorder="1" applyAlignment="1">
      <alignment horizontal="center" vertical="center"/>
    </xf>
    <xf numFmtId="43" fontId="86" fillId="3" borderId="1" xfId="1" applyFont="1" applyFill="1" applyBorder="1" applyAlignment="1">
      <alignment horizontal="right" vertical="center"/>
    </xf>
    <xf numFmtId="0" fontId="81" fillId="3" borderId="1" xfId="1" applyNumberFormat="1" applyFont="1" applyFill="1" applyBorder="1" applyAlignment="1">
      <alignment horizontal="left" vertical="top" wrapText="1" indent="2"/>
    </xf>
    <xf numFmtId="0" fontId="53" fillId="0" borderId="1" xfId="1" applyNumberFormat="1" applyFont="1" applyFill="1" applyBorder="1" applyAlignment="1">
      <alignment horizontal="left" vertical="top" indent="1"/>
    </xf>
    <xf numFmtId="43" fontId="43" fillId="0" borderId="1" xfId="1" applyFont="1" applyFill="1" applyBorder="1" applyAlignment="1">
      <alignment horizontal="right"/>
    </xf>
    <xf numFmtId="43" fontId="43" fillId="0" borderId="1" xfId="1" applyFont="1" applyBorder="1" applyAlignment="1">
      <alignment horizontal="right"/>
    </xf>
    <xf numFmtId="43" fontId="43" fillId="3" borderId="1" xfId="1" applyFont="1" applyFill="1" applyBorder="1" applyAlignment="1">
      <alignment horizontal="center" vertical="center"/>
    </xf>
    <xf numFmtId="0" fontId="81" fillId="0" borderId="1" xfId="1" applyNumberFormat="1" applyFont="1" applyFill="1" applyBorder="1" applyAlignment="1">
      <alignment horizontal="left" vertical="top" wrapText="1" indent="2"/>
    </xf>
    <xf numFmtId="0" fontId="81" fillId="0" borderId="1" xfId="1" applyNumberFormat="1" applyFont="1" applyFill="1" applyBorder="1" applyAlignment="1">
      <alignment horizontal="left" vertical="top" indent="2"/>
    </xf>
    <xf numFmtId="43" fontId="65" fillId="0" borderId="1" xfId="0" applyNumberFormat="1" applyFont="1" applyBorder="1" applyAlignment="1">
      <alignment vertical="center" wrapText="1"/>
    </xf>
    <xf numFmtId="2" fontId="73" fillId="3" borderId="19" xfId="0" applyNumberFormat="1" applyFont="1" applyFill="1" applyBorder="1" applyAlignment="1">
      <alignment horizontal="left" vertical="top" wrapText="1"/>
    </xf>
    <xf numFmtId="0" fontId="88" fillId="0" borderId="1" xfId="0" applyFont="1" applyBorder="1" applyAlignment="1">
      <alignment horizontal="center" vertical="center" wrapText="1"/>
    </xf>
    <xf numFmtId="172" fontId="88" fillId="0" borderId="1" xfId="0" applyNumberFormat="1" applyFont="1" applyBorder="1" applyAlignment="1">
      <alignment horizontal="right" vertical="top" wrapText="1"/>
    </xf>
    <xf numFmtId="0" fontId="88" fillId="0" borderId="1" xfId="0" applyFont="1" applyBorder="1" applyAlignment="1">
      <alignment vertical="center" wrapText="1"/>
    </xf>
    <xf numFmtId="165" fontId="88" fillId="0" borderId="1" xfId="0" applyNumberFormat="1" applyFont="1" applyBorder="1" applyAlignment="1">
      <alignment horizontal="center" vertical="center" wrapText="1"/>
    </xf>
    <xf numFmtId="49" fontId="88" fillId="0" borderId="1" xfId="0" applyNumberFormat="1" applyFont="1" applyBorder="1" applyAlignment="1">
      <alignment horizontal="center" vertical="center" wrapText="1"/>
    </xf>
    <xf numFmtId="0" fontId="88" fillId="0" borderId="1" xfId="0" applyFont="1" applyBorder="1" applyAlignment="1">
      <alignment horizontal="right" vertical="center" wrapText="1"/>
    </xf>
    <xf numFmtId="0" fontId="88" fillId="18" borderId="1" xfId="0" applyFont="1" applyFill="1" applyBorder="1" applyAlignment="1">
      <alignment horizontal="center" vertical="center" wrapText="1"/>
    </xf>
    <xf numFmtId="0" fontId="0" fillId="0" borderId="1" xfId="0" applyBorder="1" applyAlignment="1">
      <alignment horizontal="right" vertical="center" wrapText="1"/>
    </xf>
    <xf numFmtId="172" fontId="88" fillId="0" borderId="1" xfId="0" applyNumberFormat="1" applyFont="1" applyBorder="1" applyAlignment="1">
      <alignment horizontal="left" vertical="top" wrapText="1"/>
    </xf>
    <xf numFmtId="172" fontId="88" fillId="0" borderId="1" xfId="0" applyNumberFormat="1" applyFont="1" applyBorder="1" applyAlignment="1">
      <alignment horizontal="left" vertical="center" wrapText="1"/>
    </xf>
    <xf numFmtId="0" fontId="88" fillId="0" borderId="1" xfId="0" applyFont="1" applyBorder="1" applyAlignment="1">
      <alignment horizontal="right" vertical="top" wrapText="1"/>
    </xf>
    <xf numFmtId="2" fontId="88" fillId="0" borderId="1" xfId="0" applyNumberFormat="1" applyFont="1" applyBorder="1" applyAlignment="1">
      <alignment horizontal="right" vertical="top" wrapText="1"/>
    </xf>
    <xf numFmtId="0" fontId="88" fillId="0" borderId="1" xfId="0" applyFont="1" applyBorder="1" applyAlignment="1">
      <alignment horizontal="center" vertical="top" wrapText="1"/>
    </xf>
    <xf numFmtId="171" fontId="88" fillId="0" borderId="1" xfId="0" applyNumberFormat="1" applyFont="1" applyBorder="1" applyAlignment="1">
      <alignment horizontal="right" vertical="center" wrapText="1"/>
    </xf>
    <xf numFmtId="0" fontId="90" fillId="0" borderId="1" xfId="4" applyFont="1" applyBorder="1" applyAlignment="1">
      <alignment horizontal="left" vertical="center"/>
    </xf>
    <xf numFmtId="0" fontId="90" fillId="0" borderId="1" xfId="4" applyFont="1" applyBorder="1" applyAlignment="1">
      <alignment horizontal="left" vertical="center" wrapText="1" indent="1"/>
    </xf>
    <xf numFmtId="43" fontId="50" fillId="0" borderId="1" xfId="4" applyNumberFormat="1" applyFont="1" applyBorder="1" applyAlignment="1">
      <alignment horizontal="center" vertical="center"/>
    </xf>
    <xf numFmtId="2" fontId="50" fillId="0" borderId="1" xfId="4" applyNumberFormat="1" applyFont="1" applyBorder="1" applyAlignment="1">
      <alignment horizontal="center" vertical="center"/>
    </xf>
    <xf numFmtId="43" fontId="50" fillId="0" borderId="1" xfId="4" applyNumberFormat="1" applyFont="1" applyBorder="1" applyAlignment="1">
      <alignment horizontal="right" vertical="center"/>
    </xf>
    <xf numFmtId="43" fontId="50" fillId="0" borderId="1" xfId="4" applyNumberFormat="1" applyFont="1" applyBorder="1" applyAlignment="1">
      <alignment vertical="center"/>
    </xf>
    <xf numFmtId="0" fontId="50" fillId="0" borderId="1" xfId="4" applyFont="1" applyBorder="1" applyAlignment="1">
      <alignment horizontal="left" vertical="center" wrapText="1"/>
    </xf>
    <xf numFmtId="0" fontId="50" fillId="0" borderId="15" xfId="4" applyFont="1" applyBorder="1" applyAlignment="1">
      <alignment horizontal="left" vertical="center" wrapText="1" indent="2"/>
    </xf>
    <xf numFmtId="43" fontId="29" fillId="0" borderId="1" xfId="4" applyNumberFormat="1" applyFont="1" applyBorder="1" applyAlignment="1">
      <alignment horizontal="center" vertical="center"/>
    </xf>
    <xf numFmtId="165" fontId="9" fillId="0" borderId="1" xfId="12" applyFont="1" applyFill="1" applyBorder="1" applyAlignment="1">
      <alignment horizontal="right" vertical="center"/>
    </xf>
    <xf numFmtId="165" fontId="39" fillId="0" borderId="1" xfId="12" applyFont="1" applyBorder="1" applyAlignment="1">
      <alignment vertical="center"/>
    </xf>
    <xf numFmtId="165" fontId="39" fillId="0" borderId="1" xfId="12" applyFont="1" applyFill="1" applyBorder="1" applyAlignment="1">
      <alignment horizontal="right" vertical="center"/>
    </xf>
    <xf numFmtId="165" fontId="39" fillId="0" borderId="1" xfId="12" applyFont="1" applyBorder="1" applyAlignment="1">
      <alignment horizontal="right" vertical="center"/>
    </xf>
    <xf numFmtId="165" fontId="9" fillId="0" borderId="1" xfId="12" applyFont="1" applyBorder="1" applyAlignment="1">
      <alignment vertical="center"/>
    </xf>
    <xf numFmtId="165" fontId="39" fillId="0" borderId="21" xfId="12" applyFont="1" applyBorder="1" applyAlignment="1">
      <alignment horizontal="right" vertical="center"/>
    </xf>
    <xf numFmtId="0" fontId="50" fillId="0" borderId="1" xfId="4" applyFont="1" applyBorder="1" applyAlignment="1">
      <alignment horizontal="left" vertical="center" wrapText="1" indent="2"/>
    </xf>
    <xf numFmtId="0" fontId="50" fillId="0" borderId="1" xfId="4" applyFont="1" applyBorder="1" applyAlignment="1">
      <alignment horizontal="left" wrapText="1" indent="1"/>
    </xf>
    <xf numFmtId="43" fontId="90" fillId="14" borderId="1" xfId="4" applyNumberFormat="1" applyFont="1" applyFill="1" applyBorder="1" applyAlignment="1">
      <alignment vertical="center"/>
    </xf>
    <xf numFmtId="43" fontId="90" fillId="14" borderId="1" xfId="4" applyNumberFormat="1" applyFont="1" applyFill="1" applyBorder="1" applyAlignment="1">
      <alignment horizontal="right" vertical="center"/>
    </xf>
    <xf numFmtId="43" fontId="50" fillId="16" borderId="1" xfId="4" applyNumberFormat="1" applyFont="1" applyFill="1" applyBorder="1" applyAlignment="1">
      <alignment horizontal="right" vertical="center"/>
    </xf>
    <xf numFmtId="0" fontId="50" fillId="0" borderId="1" xfId="0" applyFont="1" applyBorder="1" applyAlignment="1">
      <alignment horizontal="left" vertical="center" wrapText="1"/>
    </xf>
    <xf numFmtId="0" fontId="50" fillId="0" borderId="1" xfId="0" applyFont="1" applyBorder="1" applyAlignment="1">
      <alignment horizontal="left" vertical="center" wrapText="1" indent="2"/>
    </xf>
    <xf numFmtId="43" fontId="29" fillId="0" borderId="1" xfId="0" applyNumberFormat="1" applyFont="1" applyBorder="1" applyAlignment="1">
      <alignment horizontal="center" vertical="center"/>
    </xf>
    <xf numFmtId="2" fontId="50" fillId="0" borderId="1" xfId="0" applyNumberFormat="1" applyFont="1" applyBorder="1" applyAlignment="1">
      <alignment horizontal="center" vertical="center"/>
    </xf>
    <xf numFmtId="43" fontId="50" fillId="0" borderId="1" xfId="0" applyNumberFormat="1" applyFont="1" applyBorder="1" applyAlignment="1">
      <alignment horizontal="right" vertical="center"/>
    </xf>
    <xf numFmtId="165" fontId="9" fillId="0" borderId="1" xfId="15" applyFont="1" applyFill="1" applyBorder="1" applyAlignment="1">
      <alignment horizontal="right" vertical="center"/>
    </xf>
    <xf numFmtId="165" fontId="39" fillId="0" borderId="1" xfId="15" applyFont="1" applyFill="1" applyBorder="1" applyAlignment="1">
      <alignment horizontal="right" vertical="center"/>
    </xf>
    <xf numFmtId="165" fontId="39" fillId="0" borderId="1" xfId="15" applyFont="1" applyBorder="1" applyAlignment="1">
      <alignment horizontal="right" vertical="center"/>
    </xf>
    <xf numFmtId="165" fontId="39" fillId="0" borderId="1" xfId="15" applyFont="1" applyBorder="1" applyAlignment="1">
      <alignment vertical="center"/>
    </xf>
    <xf numFmtId="165" fontId="9" fillId="0" borderId="1" xfId="15" applyFont="1" applyBorder="1" applyAlignment="1">
      <alignment vertical="center"/>
    </xf>
    <xf numFmtId="165" fontId="39" fillId="0" borderId="21" xfId="15" applyFont="1" applyBorder="1" applyAlignment="1">
      <alignment horizontal="right" vertical="center"/>
    </xf>
    <xf numFmtId="0" fontId="29" fillId="0" borderId="1" xfId="4" applyFont="1" applyBorder="1" applyAlignment="1">
      <alignment horizontal="left" vertical="center" wrapText="1" indent="2"/>
    </xf>
    <xf numFmtId="0" fontId="9" fillId="0" borderId="1" xfId="15" applyNumberFormat="1" applyFont="1" applyFill="1" applyBorder="1" applyAlignment="1">
      <alignment horizontal="left" vertical="top" wrapText="1" indent="2"/>
    </xf>
    <xf numFmtId="43" fontId="50" fillId="0" borderId="0" xfId="4" applyNumberFormat="1" applyFont="1" applyAlignment="1">
      <alignment vertical="center"/>
    </xf>
    <xf numFmtId="43" fontId="50" fillId="0" borderId="0" xfId="0" applyNumberFormat="1" applyFont="1" applyAlignment="1">
      <alignment vertical="center"/>
    </xf>
    <xf numFmtId="169" fontId="88" fillId="0" borderId="1" xfId="0" applyNumberFormat="1" applyFont="1" applyBorder="1" applyAlignment="1">
      <alignment horizontal="right" vertical="top" wrapText="1"/>
    </xf>
    <xf numFmtId="0" fontId="88" fillId="0" borderId="1" xfId="0" applyFont="1" applyBorder="1" applyAlignment="1">
      <alignment vertical="center"/>
    </xf>
    <xf numFmtId="1" fontId="88" fillId="0" borderId="1" xfId="0" applyNumberFormat="1" applyFont="1" applyBorder="1" applyAlignment="1">
      <alignment horizontal="center" vertical="center" wrapText="1"/>
    </xf>
    <xf numFmtId="43" fontId="88" fillId="0" borderId="1" xfId="1" applyFont="1" applyBorder="1" applyAlignment="1">
      <alignment horizontal="right" vertical="top" wrapText="1"/>
    </xf>
    <xf numFmtId="43" fontId="88" fillId="0" borderId="1" xfId="1" applyFont="1" applyBorder="1" applyAlignment="1">
      <alignment vertical="center" wrapText="1"/>
    </xf>
    <xf numFmtId="49" fontId="88" fillId="0" borderId="1" xfId="0" applyNumberFormat="1" applyFont="1" applyBorder="1" applyAlignment="1">
      <alignment horizontal="center" vertical="top" wrapText="1"/>
    </xf>
    <xf numFmtId="172" fontId="88" fillId="0" borderId="1" xfId="0" applyNumberFormat="1" applyFont="1" applyBorder="1" applyAlignment="1">
      <alignment horizontal="right" vertical="center" wrapText="1"/>
    </xf>
    <xf numFmtId="171" fontId="87" fillId="0" borderId="1" xfId="0" applyNumberFormat="1" applyFont="1" applyBorder="1" applyAlignment="1">
      <alignment horizontal="right" vertical="center" wrapText="1"/>
    </xf>
    <xf numFmtId="0" fontId="87" fillId="0" borderId="1" xfId="0" applyFont="1" applyBorder="1" applyAlignment="1">
      <alignment vertical="center" wrapText="1"/>
    </xf>
    <xf numFmtId="172" fontId="88" fillId="0" borderId="1" xfId="0" applyNumberFormat="1" applyFont="1" applyBorder="1" applyAlignment="1">
      <alignment horizontal="center" vertical="top" wrapText="1"/>
    </xf>
    <xf numFmtId="2" fontId="88" fillId="0" borderId="1" xfId="0" applyNumberFormat="1" applyFont="1" applyBorder="1" applyAlignment="1">
      <alignment vertical="top" wrapText="1"/>
    </xf>
    <xf numFmtId="165" fontId="88" fillId="0" borderId="1" xfId="0" applyNumberFormat="1" applyFont="1" applyBorder="1" applyAlignment="1">
      <alignment horizontal="center" vertical="top" wrapText="1"/>
    </xf>
    <xf numFmtId="165" fontId="88" fillId="0" borderId="1" xfId="0" applyNumberFormat="1" applyFont="1" applyBorder="1" applyAlignment="1">
      <alignment horizontal="right" vertical="top" wrapText="1"/>
    </xf>
    <xf numFmtId="172" fontId="87" fillId="0" borderId="1" xfId="0" applyNumberFormat="1" applyFont="1" applyBorder="1" applyAlignment="1">
      <alignment horizontal="right" vertical="center" wrapText="1"/>
    </xf>
    <xf numFmtId="0" fontId="88" fillId="0" borderId="1" xfId="0" applyFont="1" applyBorder="1" applyAlignment="1">
      <alignment vertical="top" wrapText="1"/>
    </xf>
    <xf numFmtId="165" fontId="88" fillId="0" borderId="1" xfId="0" applyNumberFormat="1" applyFont="1" applyBorder="1" applyAlignment="1">
      <alignment horizontal="right" vertical="center" wrapText="1"/>
    </xf>
    <xf numFmtId="165" fontId="2" fillId="0" borderId="1" xfId="0" applyNumberFormat="1" applyFont="1" applyBorder="1" applyAlignment="1">
      <alignment horizontal="center" vertical="center" wrapText="1"/>
    </xf>
    <xf numFmtId="1" fontId="88" fillId="0" borderId="1" xfId="0" applyNumberFormat="1" applyFont="1" applyBorder="1" applyAlignment="1">
      <alignment horizontal="center" vertical="top" wrapText="1"/>
    </xf>
    <xf numFmtId="0" fontId="88" fillId="0" borderId="1" xfId="1" applyNumberFormat="1" applyFont="1" applyBorder="1" applyAlignment="1">
      <alignment horizontal="center" vertical="top" wrapText="1"/>
    </xf>
    <xf numFmtId="43" fontId="88" fillId="0" borderId="1" xfId="1" applyFont="1" applyBorder="1" applyAlignment="1">
      <alignment horizontal="center" vertical="top" wrapText="1"/>
    </xf>
    <xf numFmtId="1" fontId="88" fillId="0" borderId="1" xfId="1" applyNumberFormat="1" applyFont="1" applyBorder="1" applyAlignment="1">
      <alignment horizontal="center" vertical="top" wrapText="1"/>
    </xf>
    <xf numFmtId="2" fontId="87" fillId="0" borderId="1" xfId="0" applyNumberFormat="1" applyFont="1" applyBorder="1" applyAlignment="1">
      <alignment horizontal="right" vertical="top" wrapText="1"/>
    </xf>
    <xf numFmtId="2" fontId="87" fillId="0" borderId="1" xfId="0" applyNumberFormat="1" applyFont="1" applyBorder="1" applyAlignment="1">
      <alignment horizontal="left" vertical="top" wrapText="1"/>
    </xf>
    <xf numFmtId="0" fontId="87" fillId="0" borderId="1" xfId="0" applyFont="1" applyBorder="1" applyAlignment="1">
      <alignment horizontal="left" vertical="top" wrapText="1"/>
    </xf>
    <xf numFmtId="172" fontId="87" fillId="0" borderId="1" xfId="0" applyNumberFormat="1" applyFont="1" applyBorder="1" applyAlignment="1">
      <alignment horizontal="right" vertical="top" wrapText="1"/>
    </xf>
    <xf numFmtId="43" fontId="44" fillId="0" borderId="1" xfId="1" applyFont="1" applyBorder="1" applyAlignment="1">
      <alignment horizontal="center" vertical="center" wrapText="1"/>
    </xf>
    <xf numFmtId="43" fontId="65" fillId="0" borderId="1" xfId="0" applyNumberFormat="1" applyFont="1" applyBorder="1" applyAlignment="1">
      <alignment horizontal="right" vertical="center" wrapText="1"/>
    </xf>
    <xf numFmtId="0" fontId="64" fillId="0" borderId="1" xfId="0" applyFont="1" applyBorder="1"/>
    <xf numFmtId="43" fontId="65" fillId="15" borderId="1" xfId="0" applyNumberFormat="1" applyFont="1" applyFill="1" applyBorder="1" applyAlignment="1">
      <alignment horizontal="right" vertical="center" wrapText="1"/>
    </xf>
    <xf numFmtId="43" fontId="65" fillId="0" borderId="1" xfId="0" applyNumberFormat="1" applyFont="1" applyBorder="1" applyAlignment="1">
      <alignment horizontal="right" wrapText="1"/>
    </xf>
    <xf numFmtId="43" fontId="44" fillId="0" borderId="1" xfId="1" applyFont="1" applyBorder="1" applyAlignment="1">
      <alignment horizontal="center" vertical="center"/>
    </xf>
    <xf numFmtId="0" fontId="44" fillId="0" borderId="1" xfId="1" applyNumberFormat="1" applyFont="1" applyBorder="1" applyAlignment="1">
      <alignment horizontal="center" vertical="center" wrapText="1"/>
    </xf>
    <xf numFmtId="0" fontId="44" fillId="0" borderId="1" xfId="1" applyNumberFormat="1" applyFont="1" applyBorder="1" applyAlignment="1">
      <alignment horizontal="center" vertical="center"/>
    </xf>
    <xf numFmtId="43" fontId="36" fillId="0" borderId="0" xfId="0" applyNumberFormat="1" applyFont="1" applyAlignment="1">
      <alignment horizontal="center"/>
    </xf>
    <xf numFmtId="43" fontId="34" fillId="0" borderId="0" xfId="0" applyNumberFormat="1" applyFont="1" applyAlignment="1">
      <alignment horizontal="center" vertical="center"/>
    </xf>
    <xf numFmtId="43" fontId="35" fillId="0" borderId="0" xfId="0" applyNumberFormat="1" applyFont="1" applyAlignment="1">
      <alignment horizontal="center" vertical="center"/>
    </xf>
    <xf numFmtId="0" fontId="67" fillId="0" borderId="0" xfId="0" applyFont="1" applyAlignment="1">
      <alignment horizontal="center"/>
    </xf>
    <xf numFmtId="0" fontId="10" fillId="0" borderId="0" xfId="0" applyFont="1" applyAlignment="1">
      <alignment horizontal="center"/>
    </xf>
    <xf numFmtId="0" fontId="73" fillId="0" borderId="18" xfId="0" applyFont="1" applyBorder="1" applyAlignment="1">
      <alignment horizontal="center" vertical="center" wrapText="1"/>
    </xf>
    <xf numFmtId="0" fontId="73" fillId="0" borderId="32" xfId="0" applyFont="1" applyBorder="1" applyAlignment="1">
      <alignment horizontal="center" vertical="center" wrapText="1"/>
    </xf>
    <xf numFmtId="0" fontId="73" fillId="0" borderId="19" xfId="0" applyFont="1" applyBorder="1" applyAlignment="1">
      <alignment horizontal="center" vertical="center" wrapText="1"/>
    </xf>
    <xf numFmtId="0" fontId="71" fillId="0" borderId="33" xfId="0" applyFont="1" applyBorder="1" applyAlignment="1">
      <alignment horizontal="center" vertical="center" wrapText="1"/>
    </xf>
    <xf numFmtId="0" fontId="71" fillId="0" borderId="34" xfId="0" applyFont="1" applyBorder="1" applyAlignment="1">
      <alignment horizontal="center" vertical="center" wrapText="1"/>
    </xf>
    <xf numFmtId="0" fontId="71" fillId="0" borderId="35" xfId="0" applyFont="1" applyBorder="1" applyAlignment="1">
      <alignment horizontal="center" vertical="center" wrapText="1"/>
    </xf>
    <xf numFmtId="0" fontId="71" fillId="0" borderId="36" xfId="0" applyFont="1" applyBorder="1" applyAlignment="1">
      <alignment horizontal="center" vertical="center" wrapText="1"/>
    </xf>
    <xf numFmtId="0" fontId="73" fillId="0" borderId="33" xfId="0" applyFont="1" applyBorder="1" applyAlignment="1">
      <alignment horizontal="center" vertical="center" wrapText="1"/>
    </xf>
    <xf numFmtId="0" fontId="73" fillId="0" borderId="34" xfId="0" applyFont="1" applyBorder="1" applyAlignment="1">
      <alignment horizontal="center" vertical="center" wrapText="1"/>
    </xf>
    <xf numFmtId="0" fontId="73" fillId="0" borderId="35" xfId="0" applyFont="1" applyBorder="1" applyAlignment="1">
      <alignment horizontal="center" vertical="center" wrapText="1"/>
    </xf>
    <xf numFmtId="0" fontId="73" fillId="0" borderId="36" xfId="0" applyFont="1" applyBorder="1" applyAlignment="1">
      <alignment horizontal="center" vertical="center" wrapText="1"/>
    </xf>
    <xf numFmtId="0" fontId="66" fillId="0" borderId="1" xfId="0" applyFont="1" applyBorder="1" applyAlignment="1">
      <alignment horizontal="center" vertical="center"/>
    </xf>
    <xf numFmtId="49" fontId="66" fillId="0" borderId="1" xfId="0" applyNumberFormat="1" applyFont="1" applyBorder="1" applyAlignment="1">
      <alignment horizontal="center" vertical="center"/>
    </xf>
    <xf numFmtId="0" fontId="66" fillId="0" borderId="18" xfId="0" applyFont="1" applyBorder="1" applyAlignment="1">
      <alignment horizontal="center" vertical="center" wrapText="1"/>
    </xf>
    <xf numFmtId="0" fontId="66" fillId="0" borderId="32" xfId="0" applyFont="1" applyBorder="1" applyAlignment="1">
      <alignment horizontal="center" vertical="center" wrapText="1"/>
    </xf>
    <xf numFmtId="0" fontId="66" fillId="0" borderId="19" xfId="0" applyFont="1" applyBorder="1" applyAlignment="1">
      <alignment horizontal="center" vertical="center" wrapText="1"/>
    </xf>
    <xf numFmtId="4" fontId="66" fillId="0" borderId="18" xfId="0" applyNumberFormat="1" applyFont="1" applyBorder="1" applyAlignment="1">
      <alignment horizontal="center" vertical="center" wrapText="1"/>
    </xf>
    <xf numFmtId="4" fontId="66" fillId="0" borderId="32" xfId="0" applyNumberFormat="1" applyFont="1" applyBorder="1" applyAlignment="1">
      <alignment horizontal="center" vertical="center" wrapText="1"/>
    </xf>
    <xf numFmtId="4" fontId="66" fillId="0" borderId="19" xfId="0" applyNumberFormat="1" applyFont="1" applyBorder="1" applyAlignment="1">
      <alignment horizontal="center" vertical="center" wrapText="1"/>
    </xf>
    <xf numFmtId="0" fontId="73" fillId="0" borderId="15" xfId="0" applyFont="1" applyBorder="1" applyAlignment="1">
      <alignment horizontal="right" indent="2"/>
    </xf>
    <xf numFmtId="0" fontId="73" fillId="0" borderId="17" xfId="0" applyFont="1" applyBorder="1" applyAlignment="1">
      <alignment horizontal="right" indent="2"/>
    </xf>
    <xf numFmtId="0" fontId="73" fillId="0" borderId="16" xfId="0" applyFont="1" applyBorder="1" applyAlignment="1">
      <alignment horizontal="right" indent="2"/>
    </xf>
    <xf numFmtId="4" fontId="66" fillId="0" borderId="18" xfId="0" applyNumberFormat="1" applyFont="1" applyBorder="1" applyAlignment="1">
      <alignment horizontal="center" vertical="center"/>
    </xf>
    <xf numFmtId="4" fontId="66" fillId="0" borderId="32" xfId="0" applyNumberFormat="1" applyFont="1" applyBorder="1" applyAlignment="1">
      <alignment horizontal="center" vertical="center"/>
    </xf>
    <xf numFmtId="4" fontId="66" fillId="0" borderId="19" xfId="0" applyNumberFormat="1" applyFont="1" applyBorder="1" applyAlignment="1">
      <alignment horizontal="center" vertical="center"/>
    </xf>
    <xf numFmtId="0" fontId="71" fillId="0" borderId="18" xfId="0" applyFont="1" applyBorder="1" applyAlignment="1">
      <alignment horizontal="center" vertical="center" wrapText="1"/>
    </xf>
    <xf numFmtId="0" fontId="71" fillId="0" borderId="32" xfId="0" applyFont="1" applyBorder="1" applyAlignment="1">
      <alignment horizontal="center" vertical="center" wrapText="1"/>
    </xf>
    <xf numFmtId="0" fontId="71" fillId="0" borderId="19" xfId="0" applyFont="1" applyBorder="1" applyAlignment="1">
      <alignment horizontal="center" vertical="center" wrapText="1"/>
    </xf>
    <xf numFmtId="49" fontId="71" fillId="0" borderId="18" xfId="0" applyNumberFormat="1" applyFont="1" applyBorder="1" applyAlignment="1">
      <alignment horizontal="center" vertical="center" wrapText="1"/>
    </xf>
    <xf numFmtId="49" fontId="71" fillId="0" borderId="32" xfId="0" applyNumberFormat="1" applyFont="1" applyBorder="1" applyAlignment="1">
      <alignment horizontal="center" vertical="center" wrapText="1"/>
    </xf>
    <xf numFmtId="49" fontId="71" fillId="0" borderId="19" xfId="0" applyNumberFormat="1" applyFont="1" applyBorder="1" applyAlignment="1">
      <alignment horizontal="center" vertical="center" wrapText="1"/>
    </xf>
    <xf numFmtId="0" fontId="73" fillId="0" borderId="18" xfId="0" applyFont="1" applyBorder="1" applyAlignment="1">
      <alignment horizontal="center" vertical="center" shrinkToFit="1"/>
    </xf>
    <xf numFmtId="0" fontId="73" fillId="0" borderId="19" xfId="0" applyFont="1" applyBorder="1" applyAlignment="1">
      <alignment horizontal="center" vertical="center" shrinkToFit="1"/>
    </xf>
    <xf numFmtId="49" fontId="73" fillId="0" borderId="18" xfId="0" applyNumberFormat="1" applyFont="1" applyBorder="1" applyAlignment="1">
      <alignment horizontal="center" vertical="center" wrapText="1"/>
    </xf>
    <xf numFmtId="49" fontId="73" fillId="0" borderId="19" xfId="0" applyNumberFormat="1" applyFont="1" applyBorder="1" applyAlignment="1">
      <alignment horizontal="center" vertical="center" wrapText="1"/>
    </xf>
    <xf numFmtId="0" fontId="74" fillId="0" borderId="32" xfId="0" applyFont="1" applyBorder="1" applyAlignment="1">
      <alignment horizontal="center" vertical="center" wrapText="1"/>
    </xf>
    <xf numFmtId="0" fontId="74" fillId="0" borderId="19" xfId="0" applyFont="1" applyBorder="1" applyAlignment="1">
      <alignment horizontal="center" vertical="center" wrapText="1"/>
    </xf>
    <xf numFmtId="49" fontId="74" fillId="0" borderId="32" xfId="0" applyNumberFormat="1" applyFont="1" applyBorder="1" applyAlignment="1">
      <alignment horizontal="center" vertical="center" wrapText="1"/>
    </xf>
    <xf numFmtId="49" fontId="74" fillId="0" borderId="19" xfId="0" applyNumberFormat="1" applyFont="1" applyBorder="1" applyAlignment="1">
      <alignment horizontal="center" vertical="center" wrapText="1"/>
    </xf>
    <xf numFmtId="2" fontId="73" fillId="0" borderId="15" xfId="0" applyNumberFormat="1" applyFont="1" applyBorder="1" applyAlignment="1">
      <alignment horizontal="right" indent="2"/>
    </xf>
    <xf numFmtId="2" fontId="73" fillId="0" borderId="17" xfId="0" applyNumberFormat="1" applyFont="1" applyBorder="1" applyAlignment="1">
      <alignment horizontal="right" indent="2"/>
    </xf>
    <xf numFmtId="2" fontId="73" fillId="0" borderId="16" xfId="0" applyNumberFormat="1" applyFont="1" applyBorder="1" applyAlignment="1">
      <alignment horizontal="right" indent="2"/>
    </xf>
    <xf numFmtId="0" fontId="71" fillId="0" borderId="1" xfId="0" applyFont="1" applyBorder="1" applyAlignment="1">
      <alignment horizontal="center" vertical="center"/>
    </xf>
    <xf numFmtId="2" fontId="71" fillId="17" borderId="15" xfId="1" applyNumberFormat="1" applyFont="1" applyFill="1" applyBorder="1" applyAlignment="1">
      <alignment horizontal="center" vertical="center"/>
    </xf>
    <xf numFmtId="2" fontId="71" fillId="17" borderId="17" xfId="1" applyNumberFormat="1" applyFont="1" applyFill="1" applyBorder="1" applyAlignment="1">
      <alignment horizontal="center" vertical="center"/>
    </xf>
    <xf numFmtId="2" fontId="71" fillId="17" borderId="16" xfId="1" applyNumberFormat="1" applyFont="1" applyFill="1" applyBorder="1" applyAlignment="1">
      <alignment horizontal="center" vertical="center"/>
    </xf>
    <xf numFmtId="0" fontId="88" fillId="0" borderId="1" xfId="0" applyFont="1" applyBorder="1" applyAlignment="1">
      <alignment horizontal="right" vertical="center" wrapText="1" indent="2"/>
    </xf>
    <xf numFmtId="0" fontId="0" fillId="0" borderId="0" xfId="0" applyAlignment="1">
      <alignment horizontal="center"/>
    </xf>
    <xf numFmtId="0" fontId="88" fillId="0" borderId="1" xfId="0" applyFont="1" applyBorder="1" applyAlignment="1">
      <alignment horizontal="center" vertical="center" wrapText="1"/>
    </xf>
    <xf numFmtId="0" fontId="88" fillId="0" borderId="15" xfId="0" applyFont="1" applyBorder="1" applyAlignment="1">
      <alignment horizontal="right" vertical="center" wrapText="1" indent="1"/>
    </xf>
    <xf numFmtId="0" fontId="88" fillId="0" borderId="17" xfId="0" applyFont="1" applyBorder="1" applyAlignment="1">
      <alignment horizontal="right" vertical="center" wrapText="1" indent="1"/>
    </xf>
    <xf numFmtId="0" fontId="88" fillId="0" borderId="16" xfId="0" applyFont="1" applyBorder="1" applyAlignment="1">
      <alignment horizontal="right" vertical="center" wrapText="1" indent="1"/>
    </xf>
    <xf numFmtId="0" fontId="0" fillId="0" borderId="15" xfId="0" applyBorder="1" applyAlignment="1">
      <alignment horizontal="right" vertical="center" wrapText="1" indent="5"/>
    </xf>
    <xf numFmtId="0" fontId="0" fillId="0" borderId="17" xfId="0" applyBorder="1" applyAlignment="1">
      <alignment horizontal="right" vertical="center" wrapText="1" indent="5"/>
    </xf>
    <xf numFmtId="0" fontId="0" fillId="0" borderId="16" xfId="0" applyBorder="1" applyAlignment="1">
      <alignment horizontal="right" vertical="center" wrapText="1" indent="5"/>
    </xf>
    <xf numFmtId="0" fontId="88" fillId="0" borderId="1" xfId="0" applyFont="1" applyBorder="1" applyAlignment="1">
      <alignment vertical="center" wrapText="1"/>
    </xf>
    <xf numFmtId="0" fontId="0" fillId="0" borderId="0" xfId="0" applyAlignment="1">
      <alignment horizontal="center" vertical="center"/>
    </xf>
    <xf numFmtId="0" fontId="0" fillId="0" borderId="0" xfId="0" applyAlignment="1">
      <alignment horizontal="left" vertical="center" wrapText="1"/>
    </xf>
    <xf numFmtId="0" fontId="87" fillId="0" borderId="15" xfId="0" applyFont="1" applyBorder="1" applyAlignment="1">
      <alignment horizontal="center" vertical="center" wrapText="1"/>
    </xf>
    <xf numFmtId="0" fontId="87" fillId="0" borderId="17" xfId="0" applyFont="1" applyBorder="1" applyAlignment="1">
      <alignment horizontal="center" vertical="center" wrapText="1"/>
    </xf>
    <xf numFmtId="0" fontId="87" fillId="0" borderId="16" xfId="0" applyFont="1" applyBorder="1" applyAlignment="1">
      <alignment horizontal="center" vertical="center" wrapText="1"/>
    </xf>
    <xf numFmtId="0" fontId="8" fillId="0" borderId="0" xfId="0" applyFont="1" applyAlignment="1">
      <alignment horizontal="center" vertical="center"/>
    </xf>
    <xf numFmtId="43" fontId="28" fillId="0" borderId="0" xfId="1" applyFont="1" applyFill="1" applyAlignment="1">
      <alignment horizontal="center" vertical="center"/>
    </xf>
    <xf numFmtId="43" fontId="8" fillId="0" borderId="0" xfId="1" applyFont="1" applyAlignment="1">
      <alignment horizontal="center" vertical="center"/>
    </xf>
    <xf numFmtId="43" fontId="8" fillId="0" borderId="0" xfId="1" applyFont="1" applyAlignment="1">
      <alignment horizontal="center" vertical="center" wrapText="1"/>
    </xf>
    <xf numFmtId="0" fontId="8" fillId="0" borderId="0" xfId="0" applyFont="1" applyAlignment="1">
      <alignment horizontal="center" vertical="center" wrapText="1"/>
    </xf>
    <xf numFmtId="43" fontId="40" fillId="0" borderId="22" xfId="1" applyFont="1" applyBorder="1" applyAlignment="1">
      <alignment horizontal="center" vertical="center" wrapText="1"/>
    </xf>
    <xf numFmtId="43" fontId="40" fillId="0" borderId="1" xfId="1" applyFont="1" applyBorder="1" applyAlignment="1">
      <alignment horizontal="center" vertical="center" wrapText="1"/>
    </xf>
    <xf numFmtId="43" fontId="40" fillId="0" borderId="23" xfId="1" applyFont="1" applyBorder="1" applyAlignment="1">
      <alignment horizontal="center" vertical="center" wrapText="1"/>
    </xf>
    <xf numFmtId="43" fontId="40" fillId="0" borderId="21" xfId="1" applyFont="1" applyBorder="1" applyAlignment="1">
      <alignment horizontal="center" vertical="center" wrapText="1"/>
    </xf>
    <xf numFmtId="43" fontId="40" fillId="0" borderId="27" xfId="0" applyNumberFormat="1" applyFont="1" applyBorder="1" applyAlignment="1">
      <alignment horizontal="right" vertical="center" wrapText="1" indent="1"/>
    </xf>
    <xf numFmtId="43" fontId="40" fillId="0" borderId="1" xfId="0" applyNumberFormat="1" applyFont="1" applyBorder="1" applyAlignment="1">
      <alignment horizontal="right" vertical="center" wrapText="1" indent="1"/>
    </xf>
    <xf numFmtId="43" fontId="40" fillId="5" borderId="1" xfId="1" applyFont="1" applyFill="1" applyBorder="1" applyAlignment="1">
      <alignment horizontal="right" vertical="center" wrapText="1"/>
    </xf>
    <xf numFmtId="43" fontId="40" fillId="0" borderId="28" xfId="0" applyNumberFormat="1" applyFont="1" applyBorder="1" applyAlignment="1">
      <alignment horizontal="right" vertical="center" wrapText="1" indent="1"/>
    </xf>
    <xf numFmtId="43" fontId="40" fillId="0" borderId="24" xfId="0" applyNumberFormat="1" applyFont="1" applyBorder="1" applyAlignment="1">
      <alignment horizontal="right" vertical="center" wrapText="1" indent="1"/>
    </xf>
    <xf numFmtId="43" fontId="40" fillId="0" borderId="24" xfId="1" applyFont="1" applyFill="1" applyBorder="1" applyAlignment="1">
      <alignment horizontal="right" wrapText="1"/>
    </xf>
    <xf numFmtId="0" fontId="40" fillId="0" borderId="26" xfId="1" applyNumberFormat="1" applyFont="1" applyBorder="1" applyAlignment="1">
      <alignment horizontal="center" vertical="center" wrapText="1"/>
    </xf>
    <xf numFmtId="0" fontId="40" fillId="0" borderId="27" xfId="1" applyNumberFormat="1" applyFont="1" applyBorder="1" applyAlignment="1">
      <alignment horizontal="center" vertical="center" wrapText="1"/>
    </xf>
    <xf numFmtId="0" fontId="40" fillId="0" borderId="22" xfId="1" applyNumberFormat="1" applyFont="1" applyBorder="1" applyAlignment="1">
      <alignment horizontal="center" vertical="center"/>
    </xf>
    <xf numFmtId="0" fontId="40" fillId="0" borderId="1" xfId="1" applyNumberFormat="1" applyFont="1" applyBorder="1" applyAlignment="1">
      <alignment horizontal="center" vertical="center"/>
    </xf>
    <xf numFmtId="43" fontId="40" fillId="0" borderId="22" xfId="1" applyFont="1" applyBorder="1" applyAlignment="1">
      <alignment horizontal="center" vertical="center"/>
    </xf>
    <xf numFmtId="43" fontId="40" fillId="0" borderId="1" xfId="1" applyFont="1" applyBorder="1" applyAlignment="1">
      <alignment horizontal="center" vertical="center"/>
    </xf>
    <xf numFmtId="4" fontId="10" fillId="0" borderId="1" xfId="0" applyNumberFormat="1" applyFont="1" applyBorder="1" applyAlignment="1">
      <alignment horizontal="center" vertical="center" wrapText="1"/>
    </xf>
    <xf numFmtId="2" fontId="9" fillId="0" borderId="1" xfId="0" applyNumberFormat="1" applyFont="1" applyBorder="1" applyAlignment="1">
      <alignment horizontal="center"/>
    </xf>
    <xf numFmtId="2" fontId="10" fillId="0" borderId="15" xfId="0" applyNumberFormat="1" applyFont="1" applyBorder="1" applyAlignment="1">
      <alignment horizontal="left" vertical="center" wrapText="1" indent="2"/>
    </xf>
    <xf numFmtId="2" fontId="10" fillId="0" borderId="17" xfId="0" applyNumberFormat="1" applyFont="1" applyBorder="1" applyAlignment="1">
      <alignment horizontal="left" vertical="center" wrapText="1" indent="2"/>
    </xf>
    <xf numFmtId="2" fontId="10" fillId="0" borderId="16" xfId="0" applyNumberFormat="1" applyFont="1" applyBorder="1" applyAlignment="1">
      <alignment horizontal="left" vertical="center" wrapText="1" indent="2"/>
    </xf>
    <xf numFmtId="43" fontId="10" fillId="0" borderId="1" xfId="1" applyFont="1" applyBorder="1" applyAlignment="1">
      <alignment horizontal="right" vertical="center" wrapText="1" indent="2"/>
    </xf>
    <xf numFmtId="2" fontId="10" fillId="0" borderId="1" xfId="0" applyNumberFormat="1" applyFont="1" applyBorder="1" applyAlignment="1">
      <alignment horizontal="center" vertical="center" wrapText="1"/>
    </xf>
    <xf numFmtId="2" fontId="10" fillId="0" borderId="1" xfId="0" applyNumberFormat="1" applyFont="1" applyBorder="1" applyAlignment="1">
      <alignment horizontal="center" vertical="center"/>
    </xf>
    <xf numFmtId="2" fontId="10" fillId="0" borderId="15" xfId="0" applyNumberFormat="1" applyFont="1" applyBorder="1" applyAlignment="1">
      <alignment horizontal="right" vertical="center" wrapText="1" indent="1"/>
    </xf>
    <xf numFmtId="2" fontId="10" fillId="0" borderId="17" xfId="0" applyNumberFormat="1" applyFont="1" applyBorder="1" applyAlignment="1">
      <alignment horizontal="right" vertical="center" wrapText="1" indent="1"/>
    </xf>
    <xf numFmtId="2" fontId="10" fillId="0" borderId="16" xfId="0" applyNumberFormat="1" applyFont="1" applyBorder="1" applyAlignment="1">
      <alignment horizontal="right" vertical="center" wrapText="1" indent="1"/>
    </xf>
    <xf numFmtId="43" fontId="10" fillId="0" borderId="15" xfId="1" applyFont="1" applyBorder="1" applyAlignment="1">
      <alignment horizontal="center" vertical="center" wrapText="1"/>
    </xf>
    <xf numFmtId="43" fontId="10" fillId="0" borderId="17" xfId="1" applyFont="1" applyBorder="1" applyAlignment="1">
      <alignment horizontal="center" vertical="center" wrapText="1"/>
    </xf>
    <xf numFmtId="43" fontId="10" fillId="0" borderId="16" xfId="1" applyFont="1" applyBorder="1" applyAlignment="1">
      <alignment horizontal="center" vertical="center" wrapText="1"/>
    </xf>
    <xf numFmtId="0" fontId="10" fillId="0" borderId="15" xfId="0" applyFont="1" applyBorder="1" applyAlignment="1">
      <alignment horizontal="center" vertical="center"/>
    </xf>
    <xf numFmtId="0" fontId="10" fillId="0" borderId="16" xfId="0" applyFont="1" applyBorder="1" applyAlignment="1">
      <alignment horizontal="center" vertical="center"/>
    </xf>
    <xf numFmtId="4" fontId="10" fillId="0" borderId="18" xfId="0" applyNumberFormat="1" applyFont="1" applyBorder="1" applyAlignment="1">
      <alignment horizontal="center" vertical="center" wrapText="1"/>
    </xf>
    <xf numFmtId="4" fontId="10" fillId="0" borderId="19" xfId="0" applyNumberFormat="1" applyFont="1" applyBorder="1" applyAlignment="1">
      <alignment horizontal="center" vertical="center" wrapText="1"/>
    </xf>
    <xf numFmtId="0" fontId="10" fillId="0" borderId="1" xfId="0" applyFont="1" applyBorder="1" applyAlignment="1">
      <alignment horizontal="center" vertical="center" wrapText="1"/>
    </xf>
    <xf numFmtId="43" fontId="10" fillId="0" borderId="15" xfId="1" applyFont="1" applyBorder="1" applyAlignment="1">
      <alignment horizontal="right" vertical="center" wrapText="1" indent="2"/>
    </xf>
    <xf numFmtId="43" fontId="10" fillId="0" borderId="17" xfId="1" applyFont="1" applyBorder="1" applyAlignment="1">
      <alignment horizontal="right" vertical="center" wrapText="1" indent="2"/>
    </xf>
    <xf numFmtId="43" fontId="10" fillId="0" borderId="16" xfId="1" applyFont="1" applyBorder="1" applyAlignment="1">
      <alignment horizontal="right" vertical="center" wrapText="1" indent="2"/>
    </xf>
    <xf numFmtId="0" fontId="10" fillId="0" borderId="1" xfId="0" applyFont="1" applyBorder="1" applyAlignment="1">
      <alignment horizontal="center" vertical="center"/>
    </xf>
    <xf numFmtId="0" fontId="14" fillId="0" borderId="4" xfId="2" applyFont="1" applyBorder="1" applyAlignment="1">
      <alignment horizontal="center" vertical="center"/>
    </xf>
    <xf numFmtId="4" fontId="26" fillId="0" borderId="6" xfId="2" applyNumberFormat="1" applyFont="1" applyBorder="1" applyAlignment="1">
      <alignment horizontal="left" vertical="center"/>
    </xf>
    <xf numFmtId="0" fontId="26" fillId="0" borderId="6" xfId="2" applyFont="1" applyBorder="1" applyAlignment="1">
      <alignment horizontal="left" vertical="center"/>
    </xf>
    <xf numFmtId="4" fontId="26" fillId="0" borderId="6" xfId="2" applyNumberFormat="1" applyFont="1" applyBorder="1" applyAlignment="1">
      <alignment horizontal="center" vertical="center"/>
    </xf>
    <xf numFmtId="0" fontId="26" fillId="0" borderId="5" xfId="2" applyFont="1" applyBorder="1" applyAlignment="1">
      <alignment horizontal="center" vertical="center"/>
    </xf>
    <xf numFmtId="0" fontId="17" fillId="0" borderId="0" xfId="2" applyFont="1" applyAlignment="1">
      <alignment horizontal="center" vertical="center"/>
    </xf>
    <xf numFmtId="0" fontId="15" fillId="0" borderId="0" xfId="2" applyFont="1" applyAlignment="1">
      <alignment horizontal="center" vertical="center"/>
    </xf>
    <xf numFmtId="0" fontId="14" fillId="0" borderId="0" xfId="2" applyFont="1" applyAlignment="1">
      <alignment horizontal="center" vertical="center"/>
    </xf>
    <xf numFmtId="0" fontId="14" fillId="0" borderId="0" xfId="2" applyFont="1" applyAlignment="1">
      <alignment horizontal="left" vertical="center"/>
    </xf>
    <xf numFmtId="0" fontId="19" fillId="0" borderId="0" xfId="2" applyFont="1" applyAlignment="1">
      <alignment horizontal="center" vertical="center"/>
    </xf>
    <xf numFmtId="14" fontId="15" fillId="0" borderId="0" xfId="2" applyNumberFormat="1" applyFont="1" applyAlignment="1">
      <alignment horizontal="left" vertical="center"/>
    </xf>
    <xf numFmtId="0" fontId="15" fillId="0" borderId="0" xfId="2" applyFont="1" applyAlignment="1">
      <alignment horizontal="left" vertical="center"/>
    </xf>
    <xf numFmtId="0" fontId="14" fillId="0" borderId="7" xfId="2" applyFont="1" applyBorder="1" applyAlignment="1">
      <alignment horizontal="left" vertical="center"/>
    </xf>
    <xf numFmtId="0" fontId="14" fillId="0" borderId="6" xfId="2" applyFont="1" applyBorder="1" applyAlignment="1">
      <alignment horizontal="left" vertical="center"/>
    </xf>
    <xf numFmtId="0" fontId="14" fillId="0" borderId="5" xfId="2" applyFont="1" applyBorder="1" applyAlignment="1">
      <alignment horizontal="left" vertical="center"/>
    </xf>
    <xf numFmtId="0" fontId="27" fillId="0" borderId="13" xfId="2" applyFont="1" applyBorder="1" applyAlignment="1">
      <alignment horizontal="left" vertical="top" wrapText="1"/>
    </xf>
    <xf numFmtId="0" fontId="27" fillId="0" borderId="2" xfId="2" applyFont="1" applyBorder="1" applyAlignment="1">
      <alignment horizontal="left" vertical="top" wrapText="1"/>
    </xf>
    <xf numFmtId="0" fontId="27" fillId="0" borderId="12" xfId="2" applyFont="1" applyBorder="1" applyAlignment="1">
      <alignment horizontal="left" vertical="top" wrapText="1"/>
    </xf>
    <xf numFmtId="0" fontId="27" fillId="0" borderId="11" xfId="2" applyFont="1" applyBorder="1" applyAlignment="1">
      <alignment horizontal="left" vertical="top" wrapText="1"/>
    </xf>
    <xf numFmtId="0" fontId="27" fillId="0" borderId="0" xfId="2" applyFont="1" applyAlignment="1">
      <alignment horizontal="left" vertical="top" wrapText="1"/>
    </xf>
    <xf numFmtId="0" fontId="27" fillId="0" borderId="10" xfId="2" applyFont="1" applyBorder="1" applyAlignment="1">
      <alignment horizontal="left" vertical="top" wrapText="1"/>
    </xf>
    <xf numFmtId="0" fontId="27" fillId="0" borderId="9" xfId="2" applyFont="1" applyBorder="1" applyAlignment="1">
      <alignment horizontal="left" vertical="top" wrapText="1"/>
    </xf>
    <xf numFmtId="0" fontId="27" fillId="0" borderId="3" xfId="2" applyFont="1" applyBorder="1" applyAlignment="1">
      <alignment horizontal="left" vertical="top" wrapText="1"/>
    </xf>
    <xf numFmtId="0" fontId="27" fillId="0" borderId="8" xfId="2" applyFont="1" applyBorder="1" applyAlignment="1">
      <alignment horizontal="left" vertical="top" wrapText="1"/>
    </xf>
    <xf numFmtId="0" fontId="14" fillId="0" borderId="3" xfId="2" applyFont="1" applyBorder="1" applyAlignment="1">
      <alignment horizontal="center" vertical="center"/>
    </xf>
    <xf numFmtId="0" fontId="14" fillId="0" borderId="6" xfId="2" applyFont="1" applyBorder="1" applyAlignment="1">
      <alignment horizontal="center" vertical="center"/>
    </xf>
    <xf numFmtId="0" fontId="27" fillId="0" borderId="13" xfId="2" applyFont="1" applyBorder="1" applyAlignment="1">
      <alignment horizontal="left" vertical="top"/>
    </xf>
    <xf numFmtId="0" fontId="27" fillId="0" borderId="2" xfId="2" applyFont="1" applyBorder="1" applyAlignment="1">
      <alignment horizontal="left" vertical="top"/>
    </xf>
    <xf numFmtId="0" fontId="27" fillId="0" borderId="12" xfId="2" applyFont="1" applyBorder="1" applyAlignment="1">
      <alignment horizontal="left" vertical="top"/>
    </xf>
    <xf numFmtId="0" fontId="27" fillId="0" borderId="11" xfId="2" applyFont="1" applyBorder="1" applyAlignment="1">
      <alignment horizontal="left" vertical="top"/>
    </xf>
    <xf numFmtId="0" fontId="27" fillId="0" borderId="0" xfId="2" applyFont="1" applyAlignment="1">
      <alignment horizontal="left" vertical="top"/>
    </xf>
    <xf numFmtId="0" fontId="27" fillId="0" borderId="10" xfId="2" applyFont="1" applyBorder="1" applyAlignment="1">
      <alignment horizontal="left" vertical="top"/>
    </xf>
    <xf numFmtId="0" fontId="27" fillId="0" borderId="9" xfId="2" applyFont="1" applyBorder="1" applyAlignment="1">
      <alignment horizontal="left" vertical="top"/>
    </xf>
    <xf numFmtId="0" fontId="27" fillId="0" borderId="3" xfId="2" applyFont="1" applyBorder="1" applyAlignment="1">
      <alignment horizontal="left" vertical="top"/>
    </xf>
    <xf numFmtId="0" fontId="27" fillId="0" borderId="8" xfId="2" applyFont="1" applyBorder="1" applyAlignment="1">
      <alignment horizontal="left" vertical="top"/>
    </xf>
    <xf numFmtId="0" fontId="25" fillId="0" borderId="0" xfId="2" applyFont="1" applyAlignment="1">
      <alignment horizontal="left" vertical="center"/>
    </xf>
    <xf numFmtId="167" fontId="24" fillId="0" borderId="0" xfId="3" applyFont="1" applyBorder="1" applyAlignment="1">
      <alignment vertical="center"/>
    </xf>
    <xf numFmtId="0" fontId="24" fillId="0" borderId="0" xfId="2" applyFont="1" applyAlignment="1">
      <alignment horizontal="left" vertical="center"/>
    </xf>
    <xf numFmtId="0" fontId="20" fillId="0" borderId="0" xfId="2" applyFont="1" applyAlignment="1">
      <alignment horizontal="left" vertical="center" wrapText="1"/>
    </xf>
    <xf numFmtId="0" fontId="20" fillId="0" borderId="0" xfId="2" applyFont="1" applyAlignment="1">
      <alignment horizontal="left" vertical="center"/>
    </xf>
    <xf numFmtId="0" fontId="19" fillId="0" borderId="0" xfId="2" applyFont="1" applyAlignment="1">
      <alignment horizontal="left" vertical="center"/>
    </xf>
    <xf numFmtId="0" fontId="19" fillId="0" borderId="0" xfId="2" applyFont="1" applyAlignment="1">
      <alignment horizontal="left" vertical="center" wrapText="1"/>
    </xf>
    <xf numFmtId="4" fontId="24" fillId="0" borderId="0" xfId="2" applyNumberFormat="1" applyFont="1" applyAlignment="1">
      <alignment horizontal="right" vertical="center"/>
    </xf>
    <xf numFmtId="0" fontId="24" fillId="0" borderId="0" xfId="2" applyFont="1" applyAlignment="1">
      <alignment horizontal="right" vertical="center"/>
    </xf>
    <xf numFmtId="14" fontId="19" fillId="0" borderId="0" xfId="2" applyNumberFormat="1" applyFont="1" applyAlignment="1">
      <alignment horizontal="left" vertical="center"/>
    </xf>
    <xf numFmtId="0" fontId="24" fillId="0" borderId="0" xfId="2" applyFont="1" applyAlignment="1">
      <alignment horizontal="left" vertical="top" wrapText="1"/>
    </xf>
    <xf numFmtId="0" fontId="17" fillId="0" borderId="0" xfId="2" applyFont="1" applyAlignment="1">
      <alignment horizontal="right" vertical="center"/>
    </xf>
    <xf numFmtId="0" fontId="17" fillId="0" borderId="0" xfId="2" applyFont="1" applyAlignment="1">
      <alignment horizontal="left" vertical="center"/>
    </xf>
    <xf numFmtId="0" fontId="87" fillId="0" borderId="1" xfId="0" applyFont="1" applyFill="1" applyBorder="1" applyAlignment="1">
      <alignment vertical="center" wrapText="1"/>
    </xf>
    <xf numFmtId="0" fontId="88" fillId="0" borderId="1" xfId="0" applyFont="1" applyFill="1" applyBorder="1" applyAlignment="1">
      <alignment horizontal="center" vertical="center" wrapText="1"/>
    </xf>
    <xf numFmtId="171" fontId="87" fillId="0" borderId="1" xfId="1" applyNumberFormat="1" applyFont="1" applyFill="1" applyBorder="1" applyAlignment="1">
      <alignment horizontal="right" vertical="center" wrapText="1"/>
    </xf>
    <xf numFmtId="49" fontId="1" fillId="0" borderId="1" xfId="0" applyNumberFormat="1" applyFont="1" applyBorder="1" applyAlignment="1">
      <alignment horizontal="center" vertical="center" wrapText="1"/>
    </xf>
    <xf numFmtId="0" fontId="88" fillId="0" borderId="1" xfId="0" applyNumberFormat="1" applyFont="1" applyBorder="1" applyAlignment="1">
      <alignment horizontal="center" vertical="center" wrapText="1"/>
    </xf>
    <xf numFmtId="0" fontId="0" fillId="0" borderId="15" xfId="0" applyBorder="1" applyAlignment="1">
      <alignment horizontal="center"/>
    </xf>
    <xf numFmtId="0" fontId="0" fillId="0" borderId="16" xfId="0" applyBorder="1" applyAlignment="1">
      <alignment horizontal="center"/>
    </xf>
    <xf numFmtId="0" fontId="28" fillId="0" borderId="1" xfId="0" applyFont="1" applyBorder="1"/>
    <xf numFmtId="171" fontId="28" fillId="0" borderId="1" xfId="0" applyNumberFormat="1" applyFont="1" applyBorder="1"/>
    <xf numFmtId="172" fontId="1" fillId="0" borderId="1" xfId="0" applyNumberFormat="1" applyFont="1" applyBorder="1" applyAlignment="1">
      <alignment horizontal="right" vertical="center" wrapText="1"/>
    </xf>
    <xf numFmtId="0" fontId="1" fillId="0" borderId="1" xfId="0" applyFont="1" applyBorder="1" applyAlignment="1">
      <alignment vertical="center" wrapText="1"/>
    </xf>
    <xf numFmtId="172" fontId="1" fillId="0" borderId="1" xfId="0" applyNumberFormat="1" applyFont="1" applyBorder="1" applyAlignment="1">
      <alignment horizontal="right" vertical="top" wrapText="1"/>
    </xf>
    <xf numFmtId="0" fontId="88" fillId="0" borderId="1" xfId="0" applyNumberFormat="1" applyFont="1" applyBorder="1" applyAlignment="1">
      <alignment horizontal="center" vertical="top" wrapText="1"/>
    </xf>
    <xf numFmtId="49" fontId="1" fillId="0" borderId="1" xfId="0" applyNumberFormat="1" applyFont="1" applyBorder="1" applyAlignment="1">
      <alignment horizontal="center" vertical="top" wrapText="1"/>
    </xf>
  </cellXfs>
  <cellStyles count="29">
    <cellStyle name="Comma" xfId="1" builtinId="3"/>
    <cellStyle name="Comma 2" xfId="3" xr:uid="{00000000-0005-0000-0000-000001000000}"/>
    <cellStyle name="Comma 2 2" xfId="20" xr:uid="{00000000-0005-0000-0000-000002000000}"/>
    <cellStyle name="Comma 2 3" xfId="17" xr:uid="{00000000-0005-0000-0000-000003000000}"/>
    <cellStyle name="Comma 2 4" xfId="13" xr:uid="{00000000-0005-0000-0000-000004000000}"/>
    <cellStyle name="Comma 3" xfId="8" xr:uid="{00000000-0005-0000-0000-000005000000}"/>
    <cellStyle name="Comma 3 2" xfId="15" xr:uid="{00000000-0005-0000-0000-000006000000}"/>
    <cellStyle name="Comma 4" xfId="12" xr:uid="{00000000-0005-0000-0000-000007000000}"/>
    <cellStyle name="Comma 5" xfId="27" xr:uid="{2A15F2B9-5586-4997-8DA4-945ED702F2A6}"/>
    <cellStyle name="Currency" xfId="5" builtinId="4"/>
    <cellStyle name="Currency 2" xfId="6" xr:uid="{00000000-0005-0000-0000-000009000000}"/>
    <cellStyle name="Currency 2 2" xfId="18" xr:uid="{00000000-0005-0000-0000-00000A000000}"/>
    <cellStyle name="Normal" xfId="0" builtinId="0"/>
    <cellStyle name="Normal 174" xfId="22" xr:uid="{00000000-0005-0000-0000-00000C000000}"/>
    <cellStyle name="Normal 175" xfId="23" xr:uid="{00000000-0005-0000-0000-00000D000000}"/>
    <cellStyle name="Normal 182" xfId="24" xr:uid="{00000000-0005-0000-0000-00000E000000}"/>
    <cellStyle name="Normal 2" xfId="2" xr:uid="{00000000-0005-0000-0000-00000F000000}"/>
    <cellStyle name="Normal 2 2" xfId="21" xr:uid="{00000000-0005-0000-0000-000010000000}"/>
    <cellStyle name="Normal 2 3" xfId="16" xr:uid="{00000000-0005-0000-0000-000011000000}"/>
    <cellStyle name="Normal 2 4" xfId="28" xr:uid="{898BF49B-84E1-4DFF-84C1-EC29B050BEB1}"/>
    <cellStyle name="Normal 3" xfId="4" xr:uid="{00000000-0005-0000-0000-000012000000}"/>
    <cellStyle name="Normal 3 2" xfId="14" xr:uid="{00000000-0005-0000-0000-000013000000}"/>
    <cellStyle name="Normal 4" xfId="7" xr:uid="{00000000-0005-0000-0000-000014000000}"/>
    <cellStyle name="Normal 4 2" xfId="10" xr:uid="{00000000-0005-0000-0000-000015000000}"/>
    <cellStyle name="Normal 4 3" xfId="9" xr:uid="{00000000-0005-0000-0000-000016000000}"/>
    <cellStyle name="Normal 5" xfId="11" xr:uid="{00000000-0005-0000-0000-000017000000}"/>
    <cellStyle name="Normal 6" xfId="26" xr:uid="{FD250EB8-2A87-471C-B172-72378D5C0464}"/>
    <cellStyle name="Percent 2" xfId="19" xr:uid="{00000000-0005-0000-0000-000018000000}"/>
    <cellStyle name="Percent 3" xfId="25" xr:uid="{00000000-0005-0000-0000-000019000000}"/>
  </cellStyles>
  <dxfs count="0"/>
  <tableStyles count="0" defaultTableStyle="TableStyleMedium9" defaultPivotStyle="PivotStyleLight16"/>
  <colors>
    <mruColors>
      <color rgb="FF34FB19"/>
      <color rgb="FF30C4F8"/>
      <color rgb="FFFA7A8C"/>
      <color rgb="FFE76F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_rels/drawing6.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image" Target="../media/image47.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8055454" cy="4035136"/>
    <xdr:sp macro="" textlink="">
      <xdr:nvSpPr>
        <xdr:cNvPr id="2" name="TextBox 1">
          <a:extLst>
            <a:ext uri="{FF2B5EF4-FFF2-40B4-BE49-F238E27FC236}">
              <a16:creationId xmlns:a16="http://schemas.microsoft.com/office/drawing/2014/main" id="{D736BC35-43C6-4DC4-89A3-C4EBE88C997B}"/>
            </a:ext>
          </a:extLst>
        </xdr:cNvPr>
        <xdr:cNvSpPr txBox="1"/>
      </xdr:nvSpPr>
      <xdr:spPr>
        <a:xfrm>
          <a:off x="0" y="0"/>
          <a:ext cx="28055454" cy="40351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2000" b="1" i="0">
              <a:latin typeface="+mn-lt"/>
            </a:rPr>
            <a:t>Republic</a:t>
          </a:r>
          <a:r>
            <a:rPr lang="en-US" sz="2000" b="1" i="0" baseline="0">
              <a:latin typeface="+mn-lt"/>
            </a:rPr>
            <a:t> of the Philippines</a:t>
          </a:r>
        </a:p>
        <a:p>
          <a:pPr algn="ctr"/>
          <a:r>
            <a:rPr lang="en-US" sz="2000" b="1" baseline="0">
              <a:latin typeface="+mn-lt"/>
            </a:rPr>
            <a:t>Tarlac State University</a:t>
          </a:r>
        </a:p>
        <a:p>
          <a:pPr algn="ctr"/>
          <a:r>
            <a:rPr lang="en-US" sz="2000" b="1" baseline="0">
              <a:latin typeface="+mn-lt"/>
            </a:rPr>
            <a:t>Facilities Development and Management Office</a:t>
          </a:r>
        </a:p>
        <a:p>
          <a:pPr algn="ctr"/>
          <a:r>
            <a:rPr lang="en-US" sz="2000" b="1" baseline="0">
              <a:latin typeface="+mn-lt"/>
            </a:rPr>
            <a:t>Planning and Monitoring Unit</a:t>
          </a:r>
        </a:p>
        <a:p>
          <a:pPr algn="ctr"/>
          <a:r>
            <a:rPr lang="en-US" sz="2000" baseline="0">
              <a:latin typeface="+mn-lt"/>
            </a:rPr>
            <a:t>Romulo Boulevard, San Vicnete, Tarlac City</a:t>
          </a:r>
        </a:p>
        <a:p>
          <a:pPr algn="ctr"/>
          <a:r>
            <a:rPr lang="en-US" sz="2000" baseline="0">
              <a:latin typeface="+mn-lt"/>
            </a:rPr>
            <a:t>Tel. No. (045) 982-1624; (045) 606-8160</a:t>
          </a:r>
        </a:p>
        <a:p>
          <a:pPr algn="ctr"/>
          <a:endParaRPr lang="en-US" sz="1400" baseline="0">
            <a:latin typeface="+mn-lt"/>
          </a:endParaRPr>
        </a:p>
        <a:p>
          <a:pPr algn="ctr"/>
          <a:r>
            <a:rPr lang="en-US" sz="2000" b="1" baseline="0">
              <a:latin typeface="+mn-lt"/>
            </a:rPr>
            <a:t>Project: REFURBISHMENT OF AMPHITHEATER</a:t>
          </a:r>
        </a:p>
        <a:p>
          <a:pPr algn="ctr"/>
          <a:r>
            <a:rPr lang="en-US" sz="2000" b="1" baseline="0">
              <a:latin typeface="+mn-lt"/>
            </a:rPr>
            <a:t>Location: Lucinda Extension Campus, Tarlac State University</a:t>
          </a:r>
        </a:p>
        <a:p>
          <a:pPr algn="ctr"/>
          <a:r>
            <a:rPr lang="en-US" sz="2000" b="1" baseline="0">
              <a:latin typeface="+mn-lt"/>
            </a:rPr>
            <a:t>Duration: 180 Calendar Days</a:t>
          </a:r>
        </a:p>
        <a:p>
          <a:pPr algn="ctr"/>
          <a:endParaRPr lang="en-US" sz="1500" b="1" baseline="0">
            <a:latin typeface="+mn-lt"/>
          </a:endParaRPr>
        </a:p>
        <a:p>
          <a:pPr algn="ctr"/>
          <a:r>
            <a:rPr lang="en-US" sz="2400" b="1" baseline="0">
              <a:latin typeface="+mn-lt"/>
            </a:rPr>
            <a:t>APPROVED BUDGET FOR THE CONTRACT</a:t>
          </a:r>
        </a:p>
      </xdr:txBody>
    </xdr:sp>
    <xdr:clientData/>
  </xdr:oneCellAnchor>
  <xdr:twoCellAnchor editAs="oneCell">
    <xdr:from>
      <xdr:col>13</xdr:col>
      <xdr:colOff>1420091</xdr:colOff>
      <xdr:row>3</xdr:row>
      <xdr:rowOff>26518</xdr:rowOff>
    </xdr:from>
    <xdr:to>
      <xdr:col>14</xdr:col>
      <xdr:colOff>1176546</xdr:colOff>
      <xdr:row>11</xdr:row>
      <xdr:rowOff>167368</xdr:rowOff>
    </xdr:to>
    <xdr:pic>
      <xdr:nvPicPr>
        <xdr:cNvPr id="3" name="Picture 2">
          <a:extLst>
            <a:ext uri="{FF2B5EF4-FFF2-40B4-BE49-F238E27FC236}">
              <a16:creationId xmlns:a16="http://schemas.microsoft.com/office/drawing/2014/main" id="{04FF272D-6435-4258-8D4E-EED433F1AA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84966" y="712318"/>
          <a:ext cx="1804330" cy="1969650"/>
        </a:xfrm>
        <a:prstGeom prst="rect">
          <a:avLst/>
        </a:prstGeom>
      </xdr:spPr>
    </xdr:pic>
    <xdr:clientData/>
  </xdr:twoCellAnchor>
  <xdr:twoCellAnchor>
    <xdr:from>
      <xdr:col>0</xdr:col>
      <xdr:colOff>813953</xdr:colOff>
      <xdr:row>2</xdr:row>
      <xdr:rowOff>191227</xdr:rowOff>
    </xdr:from>
    <xdr:to>
      <xdr:col>1</xdr:col>
      <xdr:colOff>1079453</xdr:colOff>
      <xdr:row>11</xdr:row>
      <xdr:rowOff>145000</xdr:rowOff>
    </xdr:to>
    <xdr:pic>
      <xdr:nvPicPr>
        <xdr:cNvPr id="4" name="Picture 2" descr="TSU Logo">
          <a:extLst>
            <a:ext uri="{FF2B5EF4-FFF2-40B4-BE49-F238E27FC236}">
              <a16:creationId xmlns:a16="http://schemas.microsoft.com/office/drawing/2014/main" id="{B8629EA5-D510-4894-B8FC-867059A83AD6}"/>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3" y="648427"/>
          <a:ext cx="1789500" cy="2011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3</xdr:row>
      <xdr:rowOff>66675</xdr:rowOff>
    </xdr:from>
    <xdr:to>
      <xdr:col>17</xdr:col>
      <xdr:colOff>255931</xdr:colOff>
      <xdr:row>44</xdr:row>
      <xdr:rowOff>142036</xdr:rowOff>
    </xdr:to>
    <xdr:pic>
      <xdr:nvPicPr>
        <xdr:cNvPr id="4" name="Picture 3">
          <a:extLst>
            <a:ext uri="{FF2B5EF4-FFF2-40B4-BE49-F238E27FC236}">
              <a16:creationId xmlns:a16="http://schemas.microsoft.com/office/drawing/2014/main" id="{0FC2CE93-6396-AD75-8E4F-77D815E84A8A}"/>
            </a:ext>
          </a:extLst>
        </xdr:cNvPr>
        <xdr:cNvPicPr>
          <a:picLocks noChangeAspect="1"/>
        </xdr:cNvPicPr>
      </xdr:nvPicPr>
      <xdr:blipFill>
        <a:blip xmlns:r="http://schemas.openxmlformats.org/officeDocument/2006/relationships" r:embed="rId1"/>
        <a:stretch>
          <a:fillRect/>
        </a:stretch>
      </xdr:blipFill>
      <xdr:spPr>
        <a:xfrm>
          <a:off x="666750" y="552450"/>
          <a:ext cx="9952381" cy="6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2</xdr:row>
      <xdr:rowOff>85725</xdr:rowOff>
    </xdr:from>
    <xdr:to>
      <xdr:col>8</xdr:col>
      <xdr:colOff>313680</xdr:colOff>
      <xdr:row>32</xdr:row>
      <xdr:rowOff>75594</xdr:rowOff>
    </xdr:to>
    <xdr:pic>
      <xdr:nvPicPr>
        <xdr:cNvPr id="2" name="Picture 1">
          <a:extLst>
            <a:ext uri="{FF2B5EF4-FFF2-40B4-BE49-F238E27FC236}">
              <a16:creationId xmlns:a16="http://schemas.microsoft.com/office/drawing/2014/main" id="{DF254F6B-17BD-4FE4-D02F-B447CA12A20C}"/>
            </a:ext>
          </a:extLst>
        </xdr:cNvPr>
        <xdr:cNvPicPr>
          <a:picLocks noChangeAspect="1"/>
        </xdr:cNvPicPr>
      </xdr:nvPicPr>
      <xdr:blipFill>
        <a:blip xmlns:r="http://schemas.openxmlformats.org/officeDocument/2006/relationships" r:embed="rId1"/>
        <a:stretch>
          <a:fillRect/>
        </a:stretch>
      </xdr:blipFill>
      <xdr:spPr>
        <a:xfrm>
          <a:off x="28575" y="409575"/>
          <a:ext cx="5161905" cy="4847619"/>
        </a:xfrm>
        <a:prstGeom prst="rect">
          <a:avLst/>
        </a:prstGeom>
      </xdr:spPr>
    </xdr:pic>
    <xdr:clientData/>
  </xdr:twoCellAnchor>
  <xdr:twoCellAnchor editAs="oneCell">
    <xdr:from>
      <xdr:col>9</xdr:col>
      <xdr:colOff>590550</xdr:colOff>
      <xdr:row>1</xdr:row>
      <xdr:rowOff>123825</xdr:rowOff>
    </xdr:from>
    <xdr:to>
      <xdr:col>18</xdr:col>
      <xdr:colOff>313674</xdr:colOff>
      <xdr:row>29</xdr:row>
      <xdr:rowOff>161354</xdr:rowOff>
    </xdr:to>
    <xdr:pic>
      <xdr:nvPicPr>
        <xdr:cNvPr id="3" name="Picture 2">
          <a:extLst>
            <a:ext uri="{FF2B5EF4-FFF2-40B4-BE49-F238E27FC236}">
              <a16:creationId xmlns:a16="http://schemas.microsoft.com/office/drawing/2014/main" id="{3F887491-FBE8-C589-F807-EEB371026D31}"/>
            </a:ext>
          </a:extLst>
        </xdr:cNvPr>
        <xdr:cNvPicPr>
          <a:picLocks noChangeAspect="1"/>
        </xdr:cNvPicPr>
      </xdr:nvPicPr>
      <xdr:blipFill>
        <a:blip xmlns:r="http://schemas.openxmlformats.org/officeDocument/2006/relationships" r:embed="rId2"/>
        <a:stretch>
          <a:fillRect/>
        </a:stretch>
      </xdr:blipFill>
      <xdr:spPr>
        <a:xfrm>
          <a:off x="6076950" y="285750"/>
          <a:ext cx="5209524" cy="4571429"/>
        </a:xfrm>
        <a:prstGeom prst="rect">
          <a:avLst/>
        </a:prstGeom>
      </xdr:spPr>
    </xdr:pic>
    <xdr:clientData/>
  </xdr:twoCellAnchor>
  <xdr:twoCellAnchor editAs="oneCell">
    <xdr:from>
      <xdr:col>20</xdr:col>
      <xdr:colOff>0</xdr:colOff>
      <xdr:row>2</xdr:row>
      <xdr:rowOff>0</xdr:rowOff>
    </xdr:from>
    <xdr:to>
      <xdr:col>28</xdr:col>
      <xdr:colOff>332724</xdr:colOff>
      <xdr:row>30</xdr:row>
      <xdr:rowOff>47052</xdr:rowOff>
    </xdr:to>
    <xdr:pic>
      <xdr:nvPicPr>
        <xdr:cNvPr id="4" name="Picture 3">
          <a:extLst>
            <a:ext uri="{FF2B5EF4-FFF2-40B4-BE49-F238E27FC236}">
              <a16:creationId xmlns:a16="http://schemas.microsoft.com/office/drawing/2014/main" id="{1C1B59D5-20CC-48BD-6C34-E310631229A8}"/>
            </a:ext>
          </a:extLst>
        </xdr:cNvPr>
        <xdr:cNvPicPr>
          <a:picLocks noChangeAspect="1"/>
        </xdr:cNvPicPr>
      </xdr:nvPicPr>
      <xdr:blipFill>
        <a:blip xmlns:r="http://schemas.openxmlformats.org/officeDocument/2006/relationships" r:embed="rId3"/>
        <a:stretch>
          <a:fillRect/>
        </a:stretch>
      </xdr:blipFill>
      <xdr:spPr>
        <a:xfrm>
          <a:off x="12192000" y="323850"/>
          <a:ext cx="5209524" cy="4580952"/>
        </a:xfrm>
        <a:prstGeom prst="rect">
          <a:avLst/>
        </a:prstGeom>
      </xdr:spPr>
    </xdr:pic>
    <xdr:clientData/>
  </xdr:twoCellAnchor>
  <xdr:twoCellAnchor editAs="oneCell">
    <xdr:from>
      <xdr:col>30</xdr:col>
      <xdr:colOff>0</xdr:colOff>
      <xdr:row>2</xdr:row>
      <xdr:rowOff>0</xdr:rowOff>
    </xdr:from>
    <xdr:to>
      <xdr:col>38</xdr:col>
      <xdr:colOff>332724</xdr:colOff>
      <xdr:row>30</xdr:row>
      <xdr:rowOff>47052</xdr:rowOff>
    </xdr:to>
    <xdr:pic>
      <xdr:nvPicPr>
        <xdr:cNvPr id="5" name="Picture 4">
          <a:extLst>
            <a:ext uri="{FF2B5EF4-FFF2-40B4-BE49-F238E27FC236}">
              <a16:creationId xmlns:a16="http://schemas.microsoft.com/office/drawing/2014/main" id="{0B1D6044-6BD4-A29C-15B0-3B1419224B79}"/>
            </a:ext>
          </a:extLst>
        </xdr:cNvPr>
        <xdr:cNvPicPr>
          <a:picLocks noChangeAspect="1"/>
        </xdr:cNvPicPr>
      </xdr:nvPicPr>
      <xdr:blipFill>
        <a:blip xmlns:r="http://schemas.openxmlformats.org/officeDocument/2006/relationships" r:embed="rId4"/>
        <a:stretch>
          <a:fillRect/>
        </a:stretch>
      </xdr:blipFill>
      <xdr:spPr>
        <a:xfrm>
          <a:off x="18288000" y="323850"/>
          <a:ext cx="5209524" cy="4580952"/>
        </a:xfrm>
        <a:prstGeom prst="rect">
          <a:avLst/>
        </a:prstGeom>
      </xdr:spPr>
    </xdr:pic>
    <xdr:clientData/>
  </xdr:twoCellAnchor>
  <xdr:twoCellAnchor editAs="oneCell">
    <xdr:from>
      <xdr:col>40</xdr:col>
      <xdr:colOff>0</xdr:colOff>
      <xdr:row>2</xdr:row>
      <xdr:rowOff>0</xdr:rowOff>
    </xdr:from>
    <xdr:to>
      <xdr:col>48</xdr:col>
      <xdr:colOff>304152</xdr:colOff>
      <xdr:row>30</xdr:row>
      <xdr:rowOff>37529</xdr:rowOff>
    </xdr:to>
    <xdr:pic>
      <xdr:nvPicPr>
        <xdr:cNvPr id="6" name="Picture 5">
          <a:extLst>
            <a:ext uri="{FF2B5EF4-FFF2-40B4-BE49-F238E27FC236}">
              <a16:creationId xmlns:a16="http://schemas.microsoft.com/office/drawing/2014/main" id="{66C269E4-D93F-9C67-FCAA-59947874BE1C}"/>
            </a:ext>
          </a:extLst>
        </xdr:cNvPr>
        <xdr:cNvPicPr>
          <a:picLocks noChangeAspect="1"/>
        </xdr:cNvPicPr>
      </xdr:nvPicPr>
      <xdr:blipFill>
        <a:blip xmlns:r="http://schemas.openxmlformats.org/officeDocument/2006/relationships" r:embed="rId5"/>
        <a:stretch>
          <a:fillRect/>
        </a:stretch>
      </xdr:blipFill>
      <xdr:spPr>
        <a:xfrm>
          <a:off x="24384000" y="323850"/>
          <a:ext cx="5180952" cy="4571429"/>
        </a:xfrm>
        <a:prstGeom prst="rect">
          <a:avLst/>
        </a:prstGeom>
      </xdr:spPr>
    </xdr:pic>
    <xdr:clientData/>
  </xdr:twoCellAnchor>
  <xdr:twoCellAnchor editAs="oneCell">
    <xdr:from>
      <xdr:col>50</xdr:col>
      <xdr:colOff>0</xdr:colOff>
      <xdr:row>2</xdr:row>
      <xdr:rowOff>0</xdr:rowOff>
    </xdr:from>
    <xdr:to>
      <xdr:col>58</xdr:col>
      <xdr:colOff>342248</xdr:colOff>
      <xdr:row>30</xdr:row>
      <xdr:rowOff>37529</xdr:rowOff>
    </xdr:to>
    <xdr:pic>
      <xdr:nvPicPr>
        <xdr:cNvPr id="8" name="Picture 7">
          <a:extLst>
            <a:ext uri="{FF2B5EF4-FFF2-40B4-BE49-F238E27FC236}">
              <a16:creationId xmlns:a16="http://schemas.microsoft.com/office/drawing/2014/main" id="{C54EC7B1-7A9F-325D-C2FD-793FF9918174}"/>
            </a:ext>
          </a:extLst>
        </xdr:cNvPr>
        <xdr:cNvPicPr>
          <a:picLocks noChangeAspect="1"/>
        </xdr:cNvPicPr>
      </xdr:nvPicPr>
      <xdr:blipFill>
        <a:blip xmlns:r="http://schemas.openxmlformats.org/officeDocument/2006/relationships" r:embed="rId6"/>
        <a:stretch>
          <a:fillRect/>
        </a:stretch>
      </xdr:blipFill>
      <xdr:spPr>
        <a:xfrm>
          <a:off x="30480000" y="323850"/>
          <a:ext cx="5219048" cy="4571429"/>
        </a:xfrm>
        <a:prstGeom prst="rect">
          <a:avLst/>
        </a:prstGeom>
      </xdr:spPr>
    </xdr:pic>
    <xdr:clientData/>
  </xdr:twoCellAnchor>
  <xdr:twoCellAnchor editAs="oneCell">
    <xdr:from>
      <xdr:col>60</xdr:col>
      <xdr:colOff>0</xdr:colOff>
      <xdr:row>2</xdr:row>
      <xdr:rowOff>0</xdr:rowOff>
    </xdr:from>
    <xdr:to>
      <xdr:col>68</xdr:col>
      <xdr:colOff>304152</xdr:colOff>
      <xdr:row>30</xdr:row>
      <xdr:rowOff>37529</xdr:rowOff>
    </xdr:to>
    <xdr:pic>
      <xdr:nvPicPr>
        <xdr:cNvPr id="9" name="Picture 8">
          <a:extLst>
            <a:ext uri="{FF2B5EF4-FFF2-40B4-BE49-F238E27FC236}">
              <a16:creationId xmlns:a16="http://schemas.microsoft.com/office/drawing/2014/main" id="{9F4918E9-CB64-6282-3226-751041C3CBDF}"/>
            </a:ext>
          </a:extLst>
        </xdr:cNvPr>
        <xdr:cNvPicPr>
          <a:picLocks noChangeAspect="1"/>
        </xdr:cNvPicPr>
      </xdr:nvPicPr>
      <xdr:blipFill>
        <a:blip xmlns:r="http://schemas.openxmlformats.org/officeDocument/2006/relationships" r:embed="rId7"/>
        <a:stretch>
          <a:fillRect/>
        </a:stretch>
      </xdr:blipFill>
      <xdr:spPr>
        <a:xfrm>
          <a:off x="36576000" y="323850"/>
          <a:ext cx="5180952" cy="4571429"/>
        </a:xfrm>
        <a:prstGeom prst="rect">
          <a:avLst/>
        </a:prstGeom>
      </xdr:spPr>
    </xdr:pic>
    <xdr:clientData/>
  </xdr:twoCellAnchor>
  <xdr:twoCellAnchor editAs="oneCell">
    <xdr:from>
      <xdr:col>70</xdr:col>
      <xdr:colOff>0</xdr:colOff>
      <xdr:row>2</xdr:row>
      <xdr:rowOff>0</xdr:rowOff>
    </xdr:from>
    <xdr:to>
      <xdr:col>78</xdr:col>
      <xdr:colOff>323200</xdr:colOff>
      <xdr:row>30</xdr:row>
      <xdr:rowOff>28005</xdr:rowOff>
    </xdr:to>
    <xdr:pic>
      <xdr:nvPicPr>
        <xdr:cNvPr id="10" name="Picture 9">
          <a:extLst>
            <a:ext uri="{FF2B5EF4-FFF2-40B4-BE49-F238E27FC236}">
              <a16:creationId xmlns:a16="http://schemas.microsoft.com/office/drawing/2014/main" id="{92C5487B-F669-308F-D7D0-5955F40E4B66}"/>
            </a:ext>
          </a:extLst>
        </xdr:cNvPr>
        <xdr:cNvPicPr>
          <a:picLocks noChangeAspect="1"/>
        </xdr:cNvPicPr>
      </xdr:nvPicPr>
      <xdr:blipFill>
        <a:blip xmlns:r="http://schemas.openxmlformats.org/officeDocument/2006/relationships" r:embed="rId8"/>
        <a:stretch>
          <a:fillRect/>
        </a:stretch>
      </xdr:blipFill>
      <xdr:spPr>
        <a:xfrm>
          <a:off x="42672000" y="323850"/>
          <a:ext cx="5200000" cy="4561905"/>
        </a:xfrm>
        <a:prstGeom prst="rect">
          <a:avLst/>
        </a:prstGeom>
      </xdr:spPr>
    </xdr:pic>
    <xdr:clientData/>
  </xdr:twoCellAnchor>
  <xdr:twoCellAnchor editAs="oneCell">
    <xdr:from>
      <xdr:col>80</xdr:col>
      <xdr:colOff>0</xdr:colOff>
      <xdr:row>2</xdr:row>
      <xdr:rowOff>0</xdr:rowOff>
    </xdr:from>
    <xdr:to>
      <xdr:col>88</xdr:col>
      <xdr:colOff>275581</xdr:colOff>
      <xdr:row>30</xdr:row>
      <xdr:rowOff>28005</xdr:rowOff>
    </xdr:to>
    <xdr:pic>
      <xdr:nvPicPr>
        <xdr:cNvPr id="11" name="Picture 10">
          <a:extLst>
            <a:ext uri="{FF2B5EF4-FFF2-40B4-BE49-F238E27FC236}">
              <a16:creationId xmlns:a16="http://schemas.microsoft.com/office/drawing/2014/main" id="{B891F355-5FDC-185C-A493-7FA97D852F9B}"/>
            </a:ext>
          </a:extLst>
        </xdr:cNvPr>
        <xdr:cNvPicPr>
          <a:picLocks noChangeAspect="1"/>
        </xdr:cNvPicPr>
      </xdr:nvPicPr>
      <xdr:blipFill>
        <a:blip xmlns:r="http://schemas.openxmlformats.org/officeDocument/2006/relationships" r:embed="rId9"/>
        <a:stretch>
          <a:fillRect/>
        </a:stretch>
      </xdr:blipFill>
      <xdr:spPr>
        <a:xfrm>
          <a:off x="48768000" y="323850"/>
          <a:ext cx="5152381" cy="4561905"/>
        </a:xfrm>
        <a:prstGeom prst="rect">
          <a:avLst/>
        </a:prstGeom>
      </xdr:spPr>
    </xdr:pic>
    <xdr:clientData/>
  </xdr:twoCellAnchor>
  <xdr:twoCellAnchor editAs="oneCell">
    <xdr:from>
      <xdr:col>90</xdr:col>
      <xdr:colOff>0</xdr:colOff>
      <xdr:row>2</xdr:row>
      <xdr:rowOff>0</xdr:rowOff>
    </xdr:from>
    <xdr:to>
      <xdr:col>98</xdr:col>
      <xdr:colOff>313676</xdr:colOff>
      <xdr:row>30</xdr:row>
      <xdr:rowOff>56576</xdr:rowOff>
    </xdr:to>
    <xdr:pic>
      <xdr:nvPicPr>
        <xdr:cNvPr id="12" name="Picture 11">
          <a:extLst>
            <a:ext uri="{FF2B5EF4-FFF2-40B4-BE49-F238E27FC236}">
              <a16:creationId xmlns:a16="http://schemas.microsoft.com/office/drawing/2014/main" id="{7DCF3B01-416C-3793-4D94-48DA341389FC}"/>
            </a:ext>
          </a:extLst>
        </xdr:cNvPr>
        <xdr:cNvPicPr>
          <a:picLocks noChangeAspect="1"/>
        </xdr:cNvPicPr>
      </xdr:nvPicPr>
      <xdr:blipFill>
        <a:blip xmlns:r="http://schemas.openxmlformats.org/officeDocument/2006/relationships" r:embed="rId10"/>
        <a:stretch>
          <a:fillRect/>
        </a:stretch>
      </xdr:blipFill>
      <xdr:spPr>
        <a:xfrm>
          <a:off x="54864000" y="323850"/>
          <a:ext cx="5190476" cy="4590476"/>
        </a:xfrm>
        <a:prstGeom prst="rect">
          <a:avLst/>
        </a:prstGeom>
      </xdr:spPr>
    </xdr:pic>
    <xdr:clientData/>
  </xdr:twoCellAnchor>
  <xdr:twoCellAnchor editAs="oneCell">
    <xdr:from>
      <xdr:col>100</xdr:col>
      <xdr:colOff>0</xdr:colOff>
      <xdr:row>2</xdr:row>
      <xdr:rowOff>0</xdr:rowOff>
    </xdr:from>
    <xdr:to>
      <xdr:col>108</xdr:col>
      <xdr:colOff>304152</xdr:colOff>
      <xdr:row>30</xdr:row>
      <xdr:rowOff>37529</xdr:rowOff>
    </xdr:to>
    <xdr:pic>
      <xdr:nvPicPr>
        <xdr:cNvPr id="13" name="Picture 12">
          <a:extLst>
            <a:ext uri="{FF2B5EF4-FFF2-40B4-BE49-F238E27FC236}">
              <a16:creationId xmlns:a16="http://schemas.microsoft.com/office/drawing/2014/main" id="{D0AFAC1D-8605-D16D-D094-851B100D5968}"/>
            </a:ext>
          </a:extLst>
        </xdr:cNvPr>
        <xdr:cNvPicPr>
          <a:picLocks noChangeAspect="1"/>
        </xdr:cNvPicPr>
      </xdr:nvPicPr>
      <xdr:blipFill>
        <a:blip xmlns:r="http://schemas.openxmlformats.org/officeDocument/2006/relationships" r:embed="rId11"/>
        <a:stretch>
          <a:fillRect/>
        </a:stretch>
      </xdr:blipFill>
      <xdr:spPr>
        <a:xfrm>
          <a:off x="60960000" y="323850"/>
          <a:ext cx="5180952" cy="4571429"/>
        </a:xfrm>
        <a:prstGeom prst="rect">
          <a:avLst/>
        </a:prstGeom>
      </xdr:spPr>
    </xdr:pic>
    <xdr:clientData/>
  </xdr:twoCellAnchor>
  <xdr:twoCellAnchor editAs="oneCell">
    <xdr:from>
      <xdr:col>110</xdr:col>
      <xdr:colOff>0</xdr:colOff>
      <xdr:row>2</xdr:row>
      <xdr:rowOff>0</xdr:rowOff>
    </xdr:from>
    <xdr:to>
      <xdr:col>118</xdr:col>
      <xdr:colOff>389867</xdr:colOff>
      <xdr:row>30</xdr:row>
      <xdr:rowOff>47052</xdr:rowOff>
    </xdr:to>
    <xdr:pic>
      <xdr:nvPicPr>
        <xdr:cNvPr id="14" name="Picture 13">
          <a:extLst>
            <a:ext uri="{FF2B5EF4-FFF2-40B4-BE49-F238E27FC236}">
              <a16:creationId xmlns:a16="http://schemas.microsoft.com/office/drawing/2014/main" id="{A38DCE00-EBD8-EECD-0F18-73CD6EECFAD5}"/>
            </a:ext>
          </a:extLst>
        </xdr:cNvPr>
        <xdr:cNvPicPr>
          <a:picLocks noChangeAspect="1"/>
        </xdr:cNvPicPr>
      </xdr:nvPicPr>
      <xdr:blipFill>
        <a:blip xmlns:r="http://schemas.openxmlformats.org/officeDocument/2006/relationships" r:embed="rId12"/>
        <a:stretch>
          <a:fillRect/>
        </a:stretch>
      </xdr:blipFill>
      <xdr:spPr>
        <a:xfrm>
          <a:off x="67056000" y="323850"/>
          <a:ext cx="5266667" cy="4580952"/>
        </a:xfrm>
        <a:prstGeom prst="rect">
          <a:avLst/>
        </a:prstGeom>
      </xdr:spPr>
    </xdr:pic>
    <xdr:clientData/>
  </xdr:twoCellAnchor>
  <xdr:twoCellAnchor editAs="oneCell">
    <xdr:from>
      <xdr:col>120</xdr:col>
      <xdr:colOff>0</xdr:colOff>
      <xdr:row>2</xdr:row>
      <xdr:rowOff>0</xdr:rowOff>
    </xdr:from>
    <xdr:to>
      <xdr:col>128</xdr:col>
      <xdr:colOff>247009</xdr:colOff>
      <xdr:row>30</xdr:row>
      <xdr:rowOff>28005</xdr:rowOff>
    </xdr:to>
    <xdr:pic>
      <xdr:nvPicPr>
        <xdr:cNvPr id="15" name="Picture 14">
          <a:extLst>
            <a:ext uri="{FF2B5EF4-FFF2-40B4-BE49-F238E27FC236}">
              <a16:creationId xmlns:a16="http://schemas.microsoft.com/office/drawing/2014/main" id="{947FD4F0-CA17-1C7A-F25E-77CE26EDB44B}"/>
            </a:ext>
          </a:extLst>
        </xdr:cNvPr>
        <xdr:cNvPicPr>
          <a:picLocks noChangeAspect="1"/>
        </xdr:cNvPicPr>
      </xdr:nvPicPr>
      <xdr:blipFill>
        <a:blip xmlns:r="http://schemas.openxmlformats.org/officeDocument/2006/relationships" r:embed="rId13"/>
        <a:stretch>
          <a:fillRect/>
        </a:stretch>
      </xdr:blipFill>
      <xdr:spPr>
        <a:xfrm>
          <a:off x="73152000" y="323850"/>
          <a:ext cx="5123809" cy="4561905"/>
        </a:xfrm>
        <a:prstGeom prst="rect">
          <a:avLst/>
        </a:prstGeom>
      </xdr:spPr>
    </xdr:pic>
    <xdr:clientData/>
  </xdr:twoCellAnchor>
  <xdr:twoCellAnchor editAs="oneCell">
    <xdr:from>
      <xdr:col>129</xdr:col>
      <xdr:colOff>0</xdr:colOff>
      <xdr:row>2</xdr:row>
      <xdr:rowOff>0</xdr:rowOff>
    </xdr:from>
    <xdr:to>
      <xdr:col>138</xdr:col>
      <xdr:colOff>180267</xdr:colOff>
      <xdr:row>30</xdr:row>
      <xdr:rowOff>28005</xdr:rowOff>
    </xdr:to>
    <xdr:pic>
      <xdr:nvPicPr>
        <xdr:cNvPr id="16" name="Picture 15">
          <a:extLst>
            <a:ext uri="{FF2B5EF4-FFF2-40B4-BE49-F238E27FC236}">
              <a16:creationId xmlns:a16="http://schemas.microsoft.com/office/drawing/2014/main" id="{9D46F882-73EB-F75E-8C14-D6677F2A3053}"/>
            </a:ext>
          </a:extLst>
        </xdr:cNvPr>
        <xdr:cNvPicPr>
          <a:picLocks noChangeAspect="1"/>
        </xdr:cNvPicPr>
      </xdr:nvPicPr>
      <xdr:blipFill>
        <a:blip xmlns:r="http://schemas.openxmlformats.org/officeDocument/2006/relationships" r:embed="rId14"/>
        <a:stretch>
          <a:fillRect/>
        </a:stretch>
      </xdr:blipFill>
      <xdr:spPr>
        <a:xfrm>
          <a:off x="78638400" y="323850"/>
          <a:ext cx="5666667" cy="4561905"/>
        </a:xfrm>
        <a:prstGeom prst="rect">
          <a:avLst/>
        </a:prstGeom>
      </xdr:spPr>
    </xdr:pic>
    <xdr:clientData/>
  </xdr:twoCellAnchor>
  <xdr:twoCellAnchor editAs="oneCell">
    <xdr:from>
      <xdr:col>140</xdr:col>
      <xdr:colOff>0</xdr:colOff>
      <xdr:row>2</xdr:row>
      <xdr:rowOff>0</xdr:rowOff>
    </xdr:from>
    <xdr:to>
      <xdr:col>148</xdr:col>
      <xdr:colOff>294629</xdr:colOff>
      <xdr:row>30</xdr:row>
      <xdr:rowOff>56576</xdr:rowOff>
    </xdr:to>
    <xdr:pic>
      <xdr:nvPicPr>
        <xdr:cNvPr id="18" name="Picture 17">
          <a:extLst>
            <a:ext uri="{FF2B5EF4-FFF2-40B4-BE49-F238E27FC236}">
              <a16:creationId xmlns:a16="http://schemas.microsoft.com/office/drawing/2014/main" id="{376CB303-B9D9-8A3E-4D60-812F3C0E68FC}"/>
            </a:ext>
          </a:extLst>
        </xdr:cNvPr>
        <xdr:cNvPicPr>
          <a:picLocks noChangeAspect="1"/>
        </xdr:cNvPicPr>
      </xdr:nvPicPr>
      <xdr:blipFill>
        <a:blip xmlns:r="http://schemas.openxmlformats.org/officeDocument/2006/relationships" r:embed="rId15"/>
        <a:stretch>
          <a:fillRect/>
        </a:stretch>
      </xdr:blipFill>
      <xdr:spPr>
        <a:xfrm>
          <a:off x="85344000" y="323850"/>
          <a:ext cx="5171429" cy="4590476"/>
        </a:xfrm>
        <a:prstGeom prst="rect">
          <a:avLst/>
        </a:prstGeom>
      </xdr:spPr>
    </xdr:pic>
    <xdr:clientData/>
  </xdr:twoCellAnchor>
  <xdr:twoCellAnchor editAs="oneCell">
    <xdr:from>
      <xdr:col>150</xdr:col>
      <xdr:colOff>0</xdr:colOff>
      <xdr:row>2</xdr:row>
      <xdr:rowOff>0</xdr:rowOff>
    </xdr:from>
    <xdr:to>
      <xdr:col>158</xdr:col>
      <xdr:colOff>332724</xdr:colOff>
      <xdr:row>30</xdr:row>
      <xdr:rowOff>37529</xdr:rowOff>
    </xdr:to>
    <xdr:pic>
      <xdr:nvPicPr>
        <xdr:cNvPr id="19" name="Picture 18">
          <a:extLst>
            <a:ext uri="{FF2B5EF4-FFF2-40B4-BE49-F238E27FC236}">
              <a16:creationId xmlns:a16="http://schemas.microsoft.com/office/drawing/2014/main" id="{8DAE0675-1F4D-A760-9F81-C9417F211076}"/>
            </a:ext>
          </a:extLst>
        </xdr:cNvPr>
        <xdr:cNvPicPr>
          <a:picLocks noChangeAspect="1"/>
        </xdr:cNvPicPr>
      </xdr:nvPicPr>
      <xdr:blipFill>
        <a:blip xmlns:r="http://schemas.openxmlformats.org/officeDocument/2006/relationships" r:embed="rId16"/>
        <a:stretch>
          <a:fillRect/>
        </a:stretch>
      </xdr:blipFill>
      <xdr:spPr>
        <a:xfrm>
          <a:off x="91440000" y="323850"/>
          <a:ext cx="5209524" cy="4571429"/>
        </a:xfrm>
        <a:prstGeom prst="rect">
          <a:avLst/>
        </a:prstGeom>
      </xdr:spPr>
    </xdr:pic>
    <xdr:clientData/>
  </xdr:twoCellAnchor>
  <xdr:twoCellAnchor editAs="oneCell">
    <xdr:from>
      <xdr:col>160</xdr:col>
      <xdr:colOff>0</xdr:colOff>
      <xdr:row>2</xdr:row>
      <xdr:rowOff>0</xdr:rowOff>
    </xdr:from>
    <xdr:to>
      <xdr:col>168</xdr:col>
      <xdr:colOff>294629</xdr:colOff>
      <xdr:row>30</xdr:row>
      <xdr:rowOff>28005</xdr:rowOff>
    </xdr:to>
    <xdr:pic>
      <xdr:nvPicPr>
        <xdr:cNvPr id="20" name="Picture 19">
          <a:extLst>
            <a:ext uri="{FF2B5EF4-FFF2-40B4-BE49-F238E27FC236}">
              <a16:creationId xmlns:a16="http://schemas.microsoft.com/office/drawing/2014/main" id="{40A97130-D090-33E4-9B7D-9815D04D1EF3}"/>
            </a:ext>
          </a:extLst>
        </xdr:cNvPr>
        <xdr:cNvPicPr>
          <a:picLocks noChangeAspect="1"/>
        </xdr:cNvPicPr>
      </xdr:nvPicPr>
      <xdr:blipFill>
        <a:blip xmlns:r="http://schemas.openxmlformats.org/officeDocument/2006/relationships" r:embed="rId17"/>
        <a:stretch>
          <a:fillRect/>
        </a:stretch>
      </xdr:blipFill>
      <xdr:spPr>
        <a:xfrm>
          <a:off x="97536000" y="323850"/>
          <a:ext cx="5171429" cy="45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361950</xdr:colOff>
      <xdr:row>3</xdr:row>
      <xdr:rowOff>123825</xdr:rowOff>
    </xdr:from>
    <xdr:to>
      <xdr:col>15</xdr:col>
      <xdr:colOff>408481</xdr:colOff>
      <xdr:row>40</xdr:row>
      <xdr:rowOff>94505</xdr:rowOff>
    </xdr:to>
    <xdr:pic>
      <xdr:nvPicPr>
        <xdr:cNvPr id="2" name="Picture 1">
          <a:extLst>
            <a:ext uri="{FF2B5EF4-FFF2-40B4-BE49-F238E27FC236}">
              <a16:creationId xmlns:a16="http://schemas.microsoft.com/office/drawing/2014/main" id="{1D49EF4F-B6AC-F968-F0AA-FEB51D9281CA}"/>
            </a:ext>
          </a:extLst>
        </xdr:cNvPr>
        <xdr:cNvPicPr>
          <a:picLocks noChangeAspect="1"/>
        </xdr:cNvPicPr>
      </xdr:nvPicPr>
      <xdr:blipFill>
        <a:blip xmlns:r="http://schemas.openxmlformats.org/officeDocument/2006/relationships" r:embed="rId1"/>
        <a:stretch>
          <a:fillRect/>
        </a:stretch>
      </xdr:blipFill>
      <xdr:spPr>
        <a:xfrm>
          <a:off x="971550" y="609600"/>
          <a:ext cx="8752381" cy="5961905"/>
        </a:xfrm>
        <a:prstGeom prst="rect">
          <a:avLst/>
        </a:prstGeom>
      </xdr:spPr>
    </xdr:pic>
    <xdr:clientData/>
  </xdr:twoCellAnchor>
  <xdr:twoCellAnchor editAs="oneCell">
    <xdr:from>
      <xdr:col>1</xdr:col>
      <xdr:colOff>428625</xdr:colOff>
      <xdr:row>44</xdr:row>
      <xdr:rowOff>57617</xdr:rowOff>
    </xdr:from>
    <xdr:to>
      <xdr:col>15</xdr:col>
      <xdr:colOff>381000</xdr:colOff>
      <xdr:row>82</xdr:row>
      <xdr:rowOff>138767</xdr:rowOff>
    </xdr:to>
    <xdr:pic>
      <xdr:nvPicPr>
        <xdr:cNvPr id="3" name="Picture 2">
          <a:extLst>
            <a:ext uri="{FF2B5EF4-FFF2-40B4-BE49-F238E27FC236}">
              <a16:creationId xmlns:a16="http://schemas.microsoft.com/office/drawing/2014/main" id="{0389DFAA-4BB0-1D0F-B84E-AC8A94712C72}"/>
            </a:ext>
          </a:extLst>
        </xdr:cNvPr>
        <xdr:cNvPicPr>
          <a:picLocks noChangeAspect="1"/>
        </xdr:cNvPicPr>
      </xdr:nvPicPr>
      <xdr:blipFill>
        <a:blip xmlns:r="http://schemas.openxmlformats.org/officeDocument/2006/relationships" r:embed="rId2"/>
        <a:stretch>
          <a:fillRect/>
        </a:stretch>
      </xdr:blipFill>
      <xdr:spPr>
        <a:xfrm>
          <a:off x="1038225" y="7182317"/>
          <a:ext cx="8658225" cy="6234300"/>
        </a:xfrm>
        <a:prstGeom prst="rect">
          <a:avLst/>
        </a:prstGeom>
      </xdr:spPr>
    </xdr:pic>
    <xdr:clientData/>
  </xdr:twoCellAnchor>
  <xdr:twoCellAnchor editAs="oneCell">
    <xdr:from>
      <xdr:col>19</xdr:col>
      <xdr:colOff>0</xdr:colOff>
      <xdr:row>4</xdr:row>
      <xdr:rowOff>0</xdr:rowOff>
    </xdr:from>
    <xdr:to>
      <xdr:col>33</xdr:col>
      <xdr:colOff>8448</xdr:colOff>
      <xdr:row>40</xdr:row>
      <xdr:rowOff>142129</xdr:rowOff>
    </xdr:to>
    <xdr:pic>
      <xdr:nvPicPr>
        <xdr:cNvPr id="8" name="Picture 7">
          <a:extLst>
            <a:ext uri="{FF2B5EF4-FFF2-40B4-BE49-F238E27FC236}">
              <a16:creationId xmlns:a16="http://schemas.microsoft.com/office/drawing/2014/main" id="{0572DBA0-C63D-66A8-CB38-9279B4DA3BCC}"/>
            </a:ext>
          </a:extLst>
        </xdr:cNvPr>
        <xdr:cNvPicPr>
          <a:picLocks noChangeAspect="1"/>
        </xdr:cNvPicPr>
      </xdr:nvPicPr>
      <xdr:blipFill>
        <a:blip xmlns:r="http://schemas.openxmlformats.org/officeDocument/2006/relationships" r:embed="rId3"/>
        <a:stretch>
          <a:fillRect/>
        </a:stretch>
      </xdr:blipFill>
      <xdr:spPr>
        <a:xfrm>
          <a:off x="11753850" y="647700"/>
          <a:ext cx="8619048" cy="5971429"/>
        </a:xfrm>
        <a:prstGeom prst="rect">
          <a:avLst/>
        </a:prstGeom>
      </xdr:spPr>
    </xdr:pic>
    <xdr:clientData/>
  </xdr:twoCellAnchor>
  <xdr:twoCellAnchor editAs="oneCell">
    <xdr:from>
      <xdr:col>19</xdr:col>
      <xdr:colOff>85725</xdr:colOff>
      <xdr:row>89</xdr:row>
      <xdr:rowOff>104775</xdr:rowOff>
    </xdr:from>
    <xdr:to>
      <xdr:col>33</xdr:col>
      <xdr:colOff>217982</xdr:colOff>
      <xdr:row>126</xdr:row>
      <xdr:rowOff>37359</xdr:rowOff>
    </xdr:to>
    <xdr:pic>
      <xdr:nvPicPr>
        <xdr:cNvPr id="9" name="Picture 8">
          <a:extLst>
            <a:ext uri="{FF2B5EF4-FFF2-40B4-BE49-F238E27FC236}">
              <a16:creationId xmlns:a16="http://schemas.microsoft.com/office/drawing/2014/main" id="{9A2B91DE-CBB5-773C-274A-9E1B31BBA9AA}"/>
            </a:ext>
          </a:extLst>
        </xdr:cNvPr>
        <xdr:cNvPicPr>
          <a:picLocks noChangeAspect="1"/>
        </xdr:cNvPicPr>
      </xdr:nvPicPr>
      <xdr:blipFill>
        <a:blip xmlns:r="http://schemas.openxmlformats.org/officeDocument/2006/relationships" r:embed="rId4"/>
        <a:stretch>
          <a:fillRect/>
        </a:stretch>
      </xdr:blipFill>
      <xdr:spPr>
        <a:xfrm>
          <a:off x="11839575" y="14506575"/>
          <a:ext cx="8742857" cy="5923809"/>
        </a:xfrm>
        <a:prstGeom prst="rect">
          <a:avLst/>
        </a:prstGeom>
      </xdr:spPr>
    </xdr:pic>
    <xdr:clientData/>
  </xdr:twoCellAnchor>
  <xdr:twoCellAnchor editAs="oneCell">
    <xdr:from>
      <xdr:col>1</xdr:col>
      <xdr:colOff>419100</xdr:colOff>
      <xdr:row>89</xdr:row>
      <xdr:rowOff>114300</xdr:rowOff>
    </xdr:from>
    <xdr:to>
      <xdr:col>15</xdr:col>
      <xdr:colOff>341821</xdr:colOff>
      <xdr:row>126</xdr:row>
      <xdr:rowOff>65932</xdr:rowOff>
    </xdr:to>
    <xdr:pic>
      <xdr:nvPicPr>
        <xdr:cNvPr id="10" name="Picture 9">
          <a:extLst>
            <a:ext uri="{FF2B5EF4-FFF2-40B4-BE49-F238E27FC236}">
              <a16:creationId xmlns:a16="http://schemas.microsoft.com/office/drawing/2014/main" id="{041AB198-3429-C6DD-5EE3-88F87950D152}"/>
            </a:ext>
          </a:extLst>
        </xdr:cNvPr>
        <xdr:cNvPicPr>
          <a:picLocks noChangeAspect="1"/>
        </xdr:cNvPicPr>
      </xdr:nvPicPr>
      <xdr:blipFill>
        <a:blip xmlns:r="http://schemas.openxmlformats.org/officeDocument/2006/relationships" r:embed="rId5"/>
        <a:stretch>
          <a:fillRect/>
        </a:stretch>
      </xdr:blipFill>
      <xdr:spPr>
        <a:xfrm>
          <a:off x="1028700" y="14516100"/>
          <a:ext cx="8628571" cy="59428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486833</xdr:colOff>
      <xdr:row>3</xdr:row>
      <xdr:rowOff>148166</xdr:rowOff>
    </xdr:from>
    <xdr:to>
      <xdr:col>17</xdr:col>
      <xdr:colOff>196200</xdr:colOff>
      <xdr:row>43</xdr:row>
      <xdr:rowOff>21167</xdr:rowOff>
    </xdr:to>
    <xdr:pic>
      <xdr:nvPicPr>
        <xdr:cNvPr id="4" name="Picture 3">
          <a:extLst>
            <a:ext uri="{FF2B5EF4-FFF2-40B4-BE49-F238E27FC236}">
              <a16:creationId xmlns:a16="http://schemas.microsoft.com/office/drawing/2014/main" id="{B76F3A8C-4E92-28D3-EEF3-DBFC2208C691}"/>
            </a:ext>
          </a:extLst>
        </xdr:cNvPr>
        <xdr:cNvPicPr>
          <a:picLocks noChangeAspect="1"/>
        </xdr:cNvPicPr>
      </xdr:nvPicPr>
      <xdr:blipFill rotWithShape="1">
        <a:blip xmlns:r="http://schemas.openxmlformats.org/officeDocument/2006/relationships" r:embed="rId1"/>
        <a:srcRect b="3579"/>
        <a:stretch/>
      </xdr:blipFill>
      <xdr:spPr>
        <a:xfrm>
          <a:off x="5598583" y="624416"/>
          <a:ext cx="5233867" cy="6223001"/>
        </a:xfrm>
        <a:prstGeom prst="rect">
          <a:avLst/>
        </a:prstGeom>
      </xdr:spPr>
    </xdr:pic>
    <xdr:clientData/>
  </xdr:twoCellAnchor>
  <xdr:twoCellAnchor editAs="oneCell">
    <xdr:from>
      <xdr:col>0</xdr:col>
      <xdr:colOff>0</xdr:colOff>
      <xdr:row>4</xdr:row>
      <xdr:rowOff>52917</xdr:rowOff>
    </xdr:from>
    <xdr:to>
      <xdr:col>8</xdr:col>
      <xdr:colOff>123174</xdr:colOff>
      <xdr:row>44</xdr:row>
      <xdr:rowOff>1</xdr:rowOff>
    </xdr:to>
    <xdr:pic>
      <xdr:nvPicPr>
        <xdr:cNvPr id="5" name="Picture 4">
          <a:extLst>
            <a:ext uri="{FF2B5EF4-FFF2-40B4-BE49-F238E27FC236}">
              <a16:creationId xmlns:a16="http://schemas.microsoft.com/office/drawing/2014/main" id="{08F333A8-3F32-E732-8346-5F35290B95CF}"/>
            </a:ext>
          </a:extLst>
        </xdr:cNvPr>
        <xdr:cNvPicPr>
          <a:picLocks noChangeAspect="1"/>
        </xdr:cNvPicPr>
      </xdr:nvPicPr>
      <xdr:blipFill rotWithShape="1">
        <a:blip xmlns:r="http://schemas.openxmlformats.org/officeDocument/2006/relationships" r:embed="rId2"/>
        <a:srcRect b="2937"/>
        <a:stretch/>
      </xdr:blipFill>
      <xdr:spPr>
        <a:xfrm>
          <a:off x="0" y="687917"/>
          <a:ext cx="5234924" cy="6297084"/>
        </a:xfrm>
        <a:prstGeom prst="rect">
          <a:avLst/>
        </a:prstGeom>
      </xdr:spPr>
    </xdr:pic>
    <xdr:clientData/>
  </xdr:twoCellAnchor>
  <xdr:twoCellAnchor editAs="oneCell">
    <xdr:from>
      <xdr:col>19</xdr:col>
      <xdr:colOff>0</xdr:colOff>
      <xdr:row>4</xdr:row>
      <xdr:rowOff>1</xdr:rowOff>
    </xdr:from>
    <xdr:to>
      <xdr:col>27</xdr:col>
      <xdr:colOff>332724</xdr:colOff>
      <xdr:row>42</xdr:row>
      <xdr:rowOff>148167</xdr:rowOff>
    </xdr:to>
    <xdr:pic>
      <xdr:nvPicPr>
        <xdr:cNvPr id="6" name="Picture 5">
          <a:extLst>
            <a:ext uri="{FF2B5EF4-FFF2-40B4-BE49-F238E27FC236}">
              <a16:creationId xmlns:a16="http://schemas.microsoft.com/office/drawing/2014/main" id="{46CC96F8-D1F6-F4AF-C6C3-8F74B686B4B6}"/>
            </a:ext>
          </a:extLst>
        </xdr:cNvPr>
        <xdr:cNvPicPr>
          <a:picLocks noChangeAspect="1"/>
        </xdr:cNvPicPr>
      </xdr:nvPicPr>
      <xdr:blipFill rotWithShape="1">
        <a:blip xmlns:r="http://schemas.openxmlformats.org/officeDocument/2006/relationships" r:embed="rId3"/>
        <a:srcRect b="3809"/>
        <a:stretch/>
      </xdr:blipFill>
      <xdr:spPr>
        <a:xfrm>
          <a:off x="11863917" y="635001"/>
          <a:ext cx="5243390" cy="6180666"/>
        </a:xfrm>
        <a:prstGeom prst="rect">
          <a:avLst/>
        </a:prstGeom>
      </xdr:spPr>
    </xdr:pic>
    <xdr:clientData/>
  </xdr:twoCellAnchor>
  <xdr:twoCellAnchor editAs="oneCell">
    <xdr:from>
      <xdr:col>29</xdr:col>
      <xdr:colOff>0</xdr:colOff>
      <xdr:row>4</xdr:row>
      <xdr:rowOff>0</xdr:rowOff>
    </xdr:from>
    <xdr:to>
      <xdr:col>37</xdr:col>
      <xdr:colOff>342248</xdr:colOff>
      <xdr:row>42</xdr:row>
      <xdr:rowOff>137583</xdr:rowOff>
    </xdr:to>
    <xdr:pic>
      <xdr:nvPicPr>
        <xdr:cNvPr id="7" name="Picture 6">
          <a:extLst>
            <a:ext uri="{FF2B5EF4-FFF2-40B4-BE49-F238E27FC236}">
              <a16:creationId xmlns:a16="http://schemas.microsoft.com/office/drawing/2014/main" id="{E03A0A23-13B5-EFE7-39FC-C448ECF73752}"/>
            </a:ext>
          </a:extLst>
        </xdr:cNvPr>
        <xdr:cNvPicPr>
          <a:picLocks noChangeAspect="1"/>
        </xdr:cNvPicPr>
      </xdr:nvPicPr>
      <xdr:blipFill rotWithShape="1">
        <a:blip xmlns:r="http://schemas.openxmlformats.org/officeDocument/2006/relationships" r:embed="rId4"/>
        <a:srcRect b="4257"/>
        <a:stretch/>
      </xdr:blipFill>
      <xdr:spPr>
        <a:xfrm>
          <a:off x="18002250" y="635000"/>
          <a:ext cx="5252915" cy="6170083"/>
        </a:xfrm>
        <a:prstGeom prst="rect">
          <a:avLst/>
        </a:prstGeom>
      </xdr:spPr>
    </xdr:pic>
    <xdr:clientData/>
  </xdr:twoCellAnchor>
  <xdr:twoCellAnchor editAs="oneCell">
    <xdr:from>
      <xdr:col>39</xdr:col>
      <xdr:colOff>0</xdr:colOff>
      <xdr:row>4</xdr:row>
      <xdr:rowOff>0</xdr:rowOff>
    </xdr:from>
    <xdr:to>
      <xdr:col>47</xdr:col>
      <xdr:colOff>332724</xdr:colOff>
      <xdr:row>42</xdr:row>
      <xdr:rowOff>52917</xdr:rowOff>
    </xdr:to>
    <xdr:pic>
      <xdr:nvPicPr>
        <xdr:cNvPr id="8" name="Picture 7">
          <a:extLst>
            <a:ext uri="{FF2B5EF4-FFF2-40B4-BE49-F238E27FC236}">
              <a16:creationId xmlns:a16="http://schemas.microsoft.com/office/drawing/2014/main" id="{FA7EFB12-0CF5-59EB-F1EC-BA574CED1939}"/>
            </a:ext>
          </a:extLst>
        </xdr:cNvPr>
        <xdr:cNvPicPr>
          <a:picLocks noChangeAspect="1"/>
        </xdr:cNvPicPr>
      </xdr:nvPicPr>
      <xdr:blipFill rotWithShape="1">
        <a:blip xmlns:r="http://schemas.openxmlformats.org/officeDocument/2006/relationships" r:embed="rId5"/>
        <a:srcRect b="3915"/>
        <a:stretch/>
      </xdr:blipFill>
      <xdr:spPr>
        <a:xfrm>
          <a:off x="24140583" y="635000"/>
          <a:ext cx="5243391" cy="6085417"/>
        </a:xfrm>
        <a:prstGeom prst="rect">
          <a:avLst/>
        </a:prstGeom>
      </xdr:spPr>
    </xdr:pic>
    <xdr:clientData/>
  </xdr:twoCellAnchor>
  <xdr:twoCellAnchor editAs="oneCell">
    <xdr:from>
      <xdr:col>49</xdr:col>
      <xdr:colOff>0</xdr:colOff>
      <xdr:row>4</xdr:row>
      <xdr:rowOff>1</xdr:rowOff>
    </xdr:from>
    <xdr:to>
      <xdr:col>58</xdr:col>
      <xdr:colOff>113600</xdr:colOff>
      <xdr:row>43</xdr:row>
      <xdr:rowOff>1</xdr:rowOff>
    </xdr:to>
    <xdr:pic>
      <xdr:nvPicPr>
        <xdr:cNvPr id="9" name="Picture 8">
          <a:extLst>
            <a:ext uri="{FF2B5EF4-FFF2-40B4-BE49-F238E27FC236}">
              <a16:creationId xmlns:a16="http://schemas.microsoft.com/office/drawing/2014/main" id="{C9149006-4DC0-81F4-0711-2F1FD9FC93BA}"/>
            </a:ext>
          </a:extLst>
        </xdr:cNvPr>
        <xdr:cNvPicPr>
          <a:picLocks noChangeAspect="1"/>
        </xdr:cNvPicPr>
      </xdr:nvPicPr>
      <xdr:blipFill rotWithShape="1">
        <a:blip xmlns:r="http://schemas.openxmlformats.org/officeDocument/2006/relationships" r:embed="rId6"/>
        <a:srcRect b="3787"/>
        <a:stretch/>
      </xdr:blipFill>
      <xdr:spPr>
        <a:xfrm>
          <a:off x="30278917" y="635001"/>
          <a:ext cx="5638100" cy="6191250"/>
        </a:xfrm>
        <a:prstGeom prst="rect">
          <a:avLst/>
        </a:prstGeom>
      </xdr:spPr>
    </xdr:pic>
    <xdr:clientData/>
  </xdr:twoCellAnchor>
  <xdr:twoCellAnchor editAs="oneCell">
    <xdr:from>
      <xdr:col>60</xdr:col>
      <xdr:colOff>0</xdr:colOff>
      <xdr:row>4</xdr:row>
      <xdr:rowOff>1</xdr:rowOff>
    </xdr:from>
    <xdr:to>
      <xdr:col>68</xdr:col>
      <xdr:colOff>266057</xdr:colOff>
      <xdr:row>43</xdr:row>
      <xdr:rowOff>1</xdr:rowOff>
    </xdr:to>
    <xdr:pic>
      <xdr:nvPicPr>
        <xdr:cNvPr id="10" name="Picture 9">
          <a:extLst>
            <a:ext uri="{FF2B5EF4-FFF2-40B4-BE49-F238E27FC236}">
              <a16:creationId xmlns:a16="http://schemas.microsoft.com/office/drawing/2014/main" id="{E67F7D1E-D833-3F81-CFDA-1463D5B42593}"/>
            </a:ext>
          </a:extLst>
        </xdr:cNvPr>
        <xdr:cNvPicPr>
          <a:picLocks noChangeAspect="1"/>
        </xdr:cNvPicPr>
      </xdr:nvPicPr>
      <xdr:blipFill rotWithShape="1">
        <a:blip xmlns:r="http://schemas.openxmlformats.org/officeDocument/2006/relationships" r:embed="rId7"/>
        <a:srcRect b="3787"/>
        <a:stretch/>
      </xdr:blipFill>
      <xdr:spPr>
        <a:xfrm>
          <a:off x="37031083" y="635001"/>
          <a:ext cx="5176724" cy="6191250"/>
        </a:xfrm>
        <a:prstGeom prst="rect">
          <a:avLst/>
        </a:prstGeom>
      </xdr:spPr>
    </xdr:pic>
    <xdr:clientData/>
  </xdr:twoCellAnchor>
  <xdr:twoCellAnchor editAs="oneCell">
    <xdr:from>
      <xdr:col>70</xdr:col>
      <xdr:colOff>0</xdr:colOff>
      <xdr:row>4</xdr:row>
      <xdr:rowOff>0</xdr:rowOff>
    </xdr:from>
    <xdr:to>
      <xdr:col>78</xdr:col>
      <xdr:colOff>351771</xdr:colOff>
      <xdr:row>43</xdr:row>
      <xdr:rowOff>10583</xdr:rowOff>
    </xdr:to>
    <xdr:pic>
      <xdr:nvPicPr>
        <xdr:cNvPr id="12" name="Picture 11">
          <a:extLst>
            <a:ext uri="{FF2B5EF4-FFF2-40B4-BE49-F238E27FC236}">
              <a16:creationId xmlns:a16="http://schemas.microsoft.com/office/drawing/2014/main" id="{88ECA224-3694-0952-ED99-1FECAB14B5C1}"/>
            </a:ext>
          </a:extLst>
        </xdr:cNvPr>
        <xdr:cNvPicPr>
          <a:picLocks noChangeAspect="1"/>
        </xdr:cNvPicPr>
      </xdr:nvPicPr>
      <xdr:blipFill rotWithShape="1">
        <a:blip xmlns:r="http://schemas.openxmlformats.org/officeDocument/2006/relationships" r:embed="rId8"/>
        <a:srcRect b="3765"/>
        <a:stretch/>
      </xdr:blipFill>
      <xdr:spPr>
        <a:xfrm>
          <a:off x="43169417" y="635000"/>
          <a:ext cx="5262437" cy="6201833"/>
        </a:xfrm>
        <a:prstGeom prst="rect">
          <a:avLst/>
        </a:prstGeom>
      </xdr:spPr>
    </xdr:pic>
    <xdr:clientData/>
  </xdr:twoCellAnchor>
  <xdr:twoCellAnchor editAs="oneCell">
    <xdr:from>
      <xdr:col>80</xdr:col>
      <xdr:colOff>0</xdr:colOff>
      <xdr:row>4</xdr:row>
      <xdr:rowOff>0</xdr:rowOff>
    </xdr:from>
    <xdr:to>
      <xdr:col>88</xdr:col>
      <xdr:colOff>294629</xdr:colOff>
      <xdr:row>42</xdr:row>
      <xdr:rowOff>148167</xdr:rowOff>
    </xdr:to>
    <xdr:pic>
      <xdr:nvPicPr>
        <xdr:cNvPr id="13" name="Picture 12">
          <a:extLst>
            <a:ext uri="{FF2B5EF4-FFF2-40B4-BE49-F238E27FC236}">
              <a16:creationId xmlns:a16="http://schemas.microsoft.com/office/drawing/2014/main" id="{C82ABCAE-4582-5B38-8A31-94445C9B3412}"/>
            </a:ext>
          </a:extLst>
        </xdr:cNvPr>
        <xdr:cNvPicPr>
          <a:picLocks noChangeAspect="1"/>
        </xdr:cNvPicPr>
      </xdr:nvPicPr>
      <xdr:blipFill rotWithShape="1">
        <a:blip xmlns:r="http://schemas.openxmlformats.org/officeDocument/2006/relationships" r:embed="rId9"/>
        <a:srcRect b="4093"/>
        <a:stretch/>
      </xdr:blipFill>
      <xdr:spPr>
        <a:xfrm>
          <a:off x="49307750" y="635000"/>
          <a:ext cx="5205296" cy="6180667"/>
        </a:xfrm>
        <a:prstGeom prst="rect">
          <a:avLst/>
        </a:prstGeom>
      </xdr:spPr>
    </xdr:pic>
    <xdr:clientData/>
  </xdr:twoCellAnchor>
  <xdr:twoCellAnchor editAs="oneCell">
    <xdr:from>
      <xdr:col>89</xdr:col>
      <xdr:colOff>582083</xdr:colOff>
      <xdr:row>3</xdr:row>
      <xdr:rowOff>137583</xdr:rowOff>
    </xdr:from>
    <xdr:to>
      <xdr:col>98</xdr:col>
      <xdr:colOff>348593</xdr:colOff>
      <xdr:row>43</xdr:row>
      <xdr:rowOff>10583</xdr:rowOff>
    </xdr:to>
    <xdr:pic>
      <xdr:nvPicPr>
        <xdr:cNvPr id="14" name="Picture 13">
          <a:extLst>
            <a:ext uri="{FF2B5EF4-FFF2-40B4-BE49-F238E27FC236}">
              <a16:creationId xmlns:a16="http://schemas.microsoft.com/office/drawing/2014/main" id="{1BDBE49E-FEFD-4D40-888F-C372DDD459DB}"/>
            </a:ext>
          </a:extLst>
        </xdr:cNvPr>
        <xdr:cNvPicPr>
          <a:picLocks noChangeAspect="1"/>
        </xdr:cNvPicPr>
      </xdr:nvPicPr>
      <xdr:blipFill rotWithShape="1">
        <a:blip xmlns:r="http://schemas.openxmlformats.org/officeDocument/2006/relationships" r:embed="rId10"/>
        <a:srcRect b="3579"/>
        <a:stretch/>
      </xdr:blipFill>
      <xdr:spPr>
        <a:xfrm>
          <a:off x="55414333" y="613833"/>
          <a:ext cx="5291010" cy="6223000"/>
        </a:xfrm>
        <a:prstGeom prst="rect">
          <a:avLst/>
        </a:prstGeom>
      </xdr:spPr>
    </xdr:pic>
    <xdr:clientData/>
  </xdr:twoCellAnchor>
  <xdr:twoCellAnchor editAs="oneCell">
    <xdr:from>
      <xdr:col>100</xdr:col>
      <xdr:colOff>0</xdr:colOff>
      <xdr:row>4</xdr:row>
      <xdr:rowOff>0</xdr:rowOff>
    </xdr:from>
    <xdr:to>
      <xdr:col>108</xdr:col>
      <xdr:colOff>332724</xdr:colOff>
      <xdr:row>42</xdr:row>
      <xdr:rowOff>116417</xdr:rowOff>
    </xdr:to>
    <xdr:pic>
      <xdr:nvPicPr>
        <xdr:cNvPr id="15" name="Picture 14">
          <a:extLst>
            <a:ext uri="{FF2B5EF4-FFF2-40B4-BE49-F238E27FC236}">
              <a16:creationId xmlns:a16="http://schemas.microsoft.com/office/drawing/2014/main" id="{F3532790-B0E4-463D-913A-48BDF387C7F8}"/>
            </a:ext>
          </a:extLst>
        </xdr:cNvPr>
        <xdr:cNvPicPr>
          <a:picLocks noChangeAspect="1"/>
        </xdr:cNvPicPr>
      </xdr:nvPicPr>
      <xdr:blipFill rotWithShape="1">
        <a:blip xmlns:r="http://schemas.openxmlformats.org/officeDocument/2006/relationships" r:embed="rId3"/>
        <a:srcRect b="4303"/>
        <a:stretch/>
      </xdr:blipFill>
      <xdr:spPr>
        <a:xfrm>
          <a:off x="61584417" y="635000"/>
          <a:ext cx="5243390" cy="61489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323200</xdr:colOff>
      <xdr:row>44</xdr:row>
      <xdr:rowOff>122939</xdr:rowOff>
    </xdr:to>
    <xdr:pic>
      <xdr:nvPicPr>
        <xdr:cNvPr id="3" name="Picture 2">
          <a:extLst>
            <a:ext uri="{FF2B5EF4-FFF2-40B4-BE49-F238E27FC236}">
              <a16:creationId xmlns:a16="http://schemas.microsoft.com/office/drawing/2014/main" id="{B257CCC8-8014-3084-86B2-19F33A4D5ECA}"/>
            </a:ext>
          </a:extLst>
        </xdr:cNvPr>
        <xdr:cNvPicPr>
          <a:picLocks noChangeAspect="1"/>
        </xdr:cNvPicPr>
      </xdr:nvPicPr>
      <xdr:blipFill>
        <a:blip xmlns:r="http://schemas.openxmlformats.org/officeDocument/2006/relationships" r:embed="rId1"/>
        <a:stretch>
          <a:fillRect/>
        </a:stretch>
      </xdr:blipFill>
      <xdr:spPr>
        <a:xfrm>
          <a:off x="0" y="161925"/>
          <a:ext cx="5200000" cy="7085714"/>
        </a:xfrm>
        <a:prstGeom prst="rect">
          <a:avLst/>
        </a:prstGeom>
      </xdr:spPr>
    </xdr:pic>
    <xdr:clientData/>
  </xdr:twoCellAnchor>
  <xdr:twoCellAnchor editAs="oneCell">
    <xdr:from>
      <xdr:col>9</xdr:col>
      <xdr:colOff>0</xdr:colOff>
      <xdr:row>1</xdr:row>
      <xdr:rowOff>0</xdr:rowOff>
    </xdr:from>
    <xdr:to>
      <xdr:col>17</xdr:col>
      <xdr:colOff>275581</xdr:colOff>
      <xdr:row>42</xdr:row>
      <xdr:rowOff>65837</xdr:rowOff>
    </xdr:to>
    <xdr:pic>
      <xdr:nvPicPr>
        <xdr:cNvPr id="4" name="Picture 3">
          <a:extLst>
            <a:ext uri="{FF2B5EF4-FFF2-40B4-BE49-F238E27FC236}">
              <a16:creationId xmlns:a16="http://schemas.microsoft.com/office/drawing/2014/main" id="{CFB39DB4-24AC-AE51-853B-E77AD8C95F6E}"/>
            </a:ext>
          </a:extLst>
        </xdr:cNvPr>
        <xdr:cNvPicPr>
          <a:picLocks noChangeAspect="1"/>
        </xdr:cNvPicPr>
      </xdr:nvPicPr>
      <xdr:blipFill>
        <a:blip xmlns:r="http://schemas.openxmlformats.org/officeDocument/2006/relationships" r:embed="rId2"/>
        <a:stretch>
          <a:fillRect/>
        </a:stretch>
      </xdr:blipFill>
      <xdr:spPr>
        <a:xfrm>
          <a:off x="5486400" y="161925"/>
          <a:ext cx="5152381" cy="6704762"/>
        </a:xfrm>
        <a:prstGeom prst="rect">
          <a:avLst/>
        </a:prstGeom>
      </xdr:spPr>
    </xdr:pic>
    <xdr:clientData/>
  </xdr:twoCellAnchor>
  <xdr:twoCellAnchor editAs="oneCell">
    <xdr:from>
      <xdr:col>18</xdr:col>
      <xdr:colOff>0</xdr:colOff>
      <xdr:row>1</xdr:row>
      <xdr:rowOff>0</xdr:rowOff>
    </xdr:from>
    <xdr:to>
      <xdr:col>26</xdr:col>
      <xdr:colOff>332724</xdr:colOff>
      <xdr:row>42</xdr:row>
      <xdr:rowOff>65837</xdr:rowOff>
    </xdr:to>
    <xdr:pic>
      <xdr:nvPicPr>
        <xdr:cNvPr id="5" name="Picture 4">
          <a:extLst>
            <a:ext uri="{FF2B5EF4-FFF2-40B4-BE49-F238E27FC236}">
              <a16:creationId xmlns:a16="http://schemas.microsoft.com/office/drawing/2014/main" id="{89E199B6-0110-F650-B896-3FFE185A59D9}"/>
            </a:ext>
          </a:extLst>
        </xdr:cNvPr>
        <xdr:cNvPicPr>
          <a:picLocks noChangeAspect="1"/>
        </xdr:cNvPicPr>
      </xdr:nvPicPr>
      <xdr:blipFill>
        <a:blip xmlns:r="http://schemas.openxmlformats.org/officeDocument/2006/relationships" r:embed="rId3"/>
        <a:stretch>
          <a:fillRect/>
        </a:stretch>
      </xdr:blipFill>
      <xdr:spPr>
        <a:xfrm>
          <a:off x="10972800" y="161925"/>
          <a:ext cx="5209524" cy="6704762"/>
        </a:xfrm>
        <a:prstGeom prst="rect">
          <a:avLst/>
        </a:prstGeom>
      </xdr:spPr>
    </xdr:pic>
    <xdr:clientData/>
  </xdr:twoCellAnchor>
  <xdr:twoCellAnchor editAs="oneCell">
    <xdr:from>
      <xdr:col>28</xdr:col>
      <xdr:colOff>0</xdr:colOff>
      <xdr:row>1</xdr:row>
      <xdr:rowOff>0</xdr:rowOff>
    </xdr:from>
    <xdr:to>
      <xdr:col>36</xdr:col>
      <xdr:colOff>323200</xdr:colOff>
      <xdr:row>42</xdr:row>
      <xdr:rowOff>65837</xdr:rowOff>
    </xdr:to>
    <xdr:pic>
      <xdr:nvPicPr>
        <xdr:cNvPr id="6" name="Picture 5">
          <a:extLst>
            <a:ext uri="{FF2B5EF4-FFF2-40B4-BE49-F238E27FC236}">
              <a16:creationId xmlns:a16="http://schemas.microsoft.com/office/drawing/2014/main" id="{CFCB1C25-8B58-482D-5634-7E1F5E43D30A}"/>
            </a:ext>
          </a:extLst>
        </xdr:cNvPr>
        <xdr:cNvPicPr>
          <a:picLocks noChangeAspect="1"/>
        </xdr:cNvPicPr>
      </xdr:nvPicPr>
      <xdr:blipFill>
        <a:blip xmlns:r="http://schemas.openxmlformats.org/officeDocument/2006/relationships" r:embed="rId4"/>
        <a:stretch>
          <a:fillRect/>
        </a:stretch>
      </xdr:blipFill>
      <xdr:spPr>
        <a:xfrm>
          <a:off x="17068800" y="161925"/>
          <a:ext cx="5200000" cy="6704762"/>
        </a:xfrm>
        <a:prstGeom prst="rect">
          <a:avLst/>
        </a:prstGeom>
      </xdr:spPr>
    </xdr:pic>
    <xdr:clientData/>
  </xdr:twoCellAnchor>
  <xdr:twoCellAnchor editAs="oneCell">
    <xdr:from>
      <xdr:col>37</xdr:col>
      <xdr:colOff>590550</xdr:colOff>
      <xdr:row>1</xdr:row>
      <xdr:rowOff>0</xdr:rowOff>
    </xdr:from>
    <xdr:to>
      <xdr:col>46</xdr:col>
      <xdr:colOff>313674</xdr:colOff>
      <xdr:row>42</xdr:row>
      <xdr:rowOff>56313</xdr:rowOff>
    </xdr:to>
    <xdr:pic>
      <xdr:nvPicPr>
        <xdr:cNvPr id="7" name="Picture 6">
          <a:extLst>
            <a:ext uri="{FF2B5EF4-FFF2-40B4-BE49-F238E27FC236}">
              <a16:creationId xmlns:a16="http://schemas.microsoft.com/office/drawing/2014/main" id="{9E604451-097F-3A5B-6EF4-86304AAA69CB}"/>
            </a:ext>
          </a:extLst>
        </xdr:cNvPr>
        <xdr:cNvPicPr>
          <a:picLocks noChangeAspect="1"/>
        </xdr:cNvPicPr>
      </xdr:nvPicPr>
      <xdr:blipFill>
        <a:blip xmlns:r="http://schemas.openxmlformats.org/officeDocument/2006/relationships" r:embed="rId5"/>
        <a:stretch>
          <a:fillRect/>
        </a:stretch>
      </xdr:blipFill>
      <xdr:spPr>
        <a:xfrm>
          <a:off x="23145750" y="161925"/>
          <a:ext cx="5209524" cy="6695238"/>
        </a:xfrm>
        <a:prstGeom prst="rect">
          <a:avLst/>
        </a:prstGeom>
      </xdr:spPr>
    </xdr:pic>
    <xdr:clientData/>
  </xdr:twoCellAnchor>
  <xdr:twoCellAnchor editAs="oneCell">
    <xdr:from>
      <xdr:col>48</xdr:col>
      <xdr:colOff>0</xdr:colOff>
      <xdr:row>1</xdr:row>
      <xdr:rowOff>0</xdr:rowOff>
    </xdr:from>
    <xdr:to>
      <xdr:col>57</xdr:col>
      <xdr:colOff>142171</xdr:colOff>
      <xdr:row>42</xdr:row>
      <xdr:rowOff>37265</xdr:rowOff>
    </xdr:to>
    <xdr:pic>
      <xdr:nvPicPr>
        <xdr:cNvPr id="8" name="Picture 7">
          <a:extLst>
            <a:ext uri="{FF2B5EF4-FFF2-40B4-BE49-F238E27FC236}">
              <a16:creationId xmlns:a16="http://schemas.microsoft.com/office/drawing/2014/main" id="{904C7235-FFC3-230C-85DC-3E6FB645A509}"/>
            </a:ext>
          </a:extLst>
        </xdr:cNvPr>
        <xdr:cNvPicPr>
          <a:picLocks noChangeAspect="1"/>
        </xdr:cNvPicPr>
      </xdr:nvPicPr>
      <xdr:blipFill>
        <a:blip xmlns:r="http://schemas.openxmlformats.org/officeDocument/2006/relationships" r:embed="rId6"/>
        <a:stretch>
          <a:fillRect/>
        </a:stretch>
      </xdr:blipFill>
      <xdr:spPr>
        <a:xfrm>
          <a:off x="29260800" y="161925"/>
          <a:ext cx="5628571" cy="6676190"/>
        </a:xfrm>
        <a:prstGeom prst="rect">
          <a:avLst/>
        </a:prstGeom>
      </xdr:spPr>
    </xdr:pic>
    <xdr:clientData/>
  </xdr:twoCellAnchor>
  <xdr:twoCellAnchor editAs="oneCell">
    <xdr:from>
      <xdr:col>58</xdr:col>
      <xdr:colOff>0</xdr:colOff>
      <xdr:row>1</xdr:row>
      <xdr:rowOff>0</xdr:rowOff>
    </xdr:from>
    <xdr:to>
      <xdr:col>66</xdr:col>
      <xdr:colOff>294629</xdr:colOff>
      <xdr:row>42</xdr:row>
      <xdr:rowOff>46789</xdr:rowOff>
    </xdr:to>
    <xdr:pic>
      <xdr:nvPicPr>
        <xdr:cNvPr id="9" name="Picture 8">
          <a:extLst>
            <a:ext uri="{FF2B5EF4-FFF2-40B4-BE49-F238E27FC236}">
              <a16:creationId xmlns:a16="http://schemas.microsoft.com/office/drawing/2014/main" id="{534A11CA-D3F5-81BC-23D5-D77ED9F61472}"/>
            </a:ext>
          </a:extLst>
        </xdr:cNvPr>
        <xdr:cNvPicPr>
          <a:picLocks noChangeAspect="1"/>
        </xdr:cNvPicPr>
      </xdr:nvPicPr>
      <xdr:blipFill>
        <a:blip xmlns:r="http://schemas.openxmlformats.org/officeDocument/2006/relationships" r:embed="rId7"/>
        <a:stretch>
          <a:fillRect/>
        </a:stretch>
      </xdr:blipFill>
      <xdr:spPr>
        <a:xfrm>
          <a:off x="35356800" y="161925"/>
          <a:ext cx="5171429" cy="6685714"/>
        </a:xfrm>
        <a:prstGeom prst="rect">
          <a:avLst/>
        </a:prstGeom>
      </xdr:spPr>
    </xdr:pic>
    <xdr:clientData/>
  </xdr:twoCellAnchor>
  <xdr:twoCellAnchor editAs="oneCell">
    <xdr:from>
      <xdr:col>68</xdr:col>
      <xdr:colOff>0</xdr:colOff>
      <xdr:row>1</xdr:row>
      <xdr:rowOff>0</xdr:rowOff>
    </xdr:from>
    <xdr:to>
      <xdr:col>76</xdr:col>
      <xdr:colOff>323200</xdr:colOff>
      <xdr:row>42</xdr:row>
      <xdr:rowOff>75361</xdr:rowOff>
    </xdr:to>
    <xdr:pic>
      <xdr:nvPicPr>
        <xdr:cNvPr id="10" name="Picture 9">
          <a:extLst>
            <a:ext uri="{FF2B5EF4-FFF2-40B4-BE49-F238E27FC236}">
              <a16:creationId xmlns:a16="http://schemas.microsoft.com/office/drawing/2014/main" id="{734F849D-9091-D4B7-4DBB-E3A4ADD29CE1}"/>
            </a:ext>
          </a:extLst>
        </xdr:cNvPr>
        <xdr:cNvPicPr>
          <a:picLocks noChangeAspect="1"/>
        </xdr:cNvPicPr>
      </xdr:nvPicPr>
      <xdr:blipFill>
        <a:blip xmlns:r="http://schemas.openxmlformats.org/officeDocument/2006/relationships" r:embed="rId8"/>
        <a:stretch>
          <a:fillRect/>
        </a:stretch>
      </xdr:blipFill>
      <xdr:spPr>
        <a:xfrm>
          <a:off x="41452800" y="161925"/>
          <a:ext cx="5200000" cy="6714286"/>
        </a:xfrm>
        <a:prstGeom prst="rect">
          <a:avLst/>
        </a:prstGeom>
      </xdr:spPr>
    </xdr:pic>
    <xdr:clientData/>
  </xdr:twoCellAnchor>
  <xdr:twoCellAnchor editAs="oneCell">
    <xdr:from>
      <xdr:col>78</xdr:col>
      <xdr:colOff>0</xdr:colOff>
      <xdr:row>1</xdr:row>
      <xdr:rowOff>0</xdr:rowOff>
    </xdr:from>
    <xdr:to>
      <xdr:col>86</xdr:col>
      <xdr:colOff>332724</xdr:colOff>
      <xdr:row>42</xdr:row>
      <xdr:rowOff>75361</xdr:rowOff>
    </xdr:to>
    <xdr:pic>
      <xdr:nvPicPr>
        <xdr:cNvPr id="11" name="Picture 10">
          <a:extLst>
            <a:ext uri="{FF2B5EF4-FFF2-40B4-BE49-F238E27FC236}">
              <a16:creationId xmlns:a16="http://schemas.microsoft.com/office/drawing/2014/main" id="{ED3570B3-B1F7-B251-DC2B-FA6C6F58F894}"/>
            </a:ext>
          </a:extLst>
        </xdr:cNvPr>
        <xdr:cNvPicPr>
          <a:picLocks noChangeAspect="1"/>
        </xdr:cNvPicPr>
      </xdr:nvPicPr>
      <xdr:blipFill>
        <a:blip xmlns:r="http://schemas.openxmlformats.org/officeDocument/2006/relationships" r:embed="rId9"/>
        <a:stretch>
          <a:fillRect/>
        </a:stretch>
      </xdr:blipFill>
      <xdr:spPr>
        <a:xfrm>
          <a:off x="47548800" y="161925"/>
          <a:ext cx="5209524" cy="6714286"/>
        </a:xfrm>
        <a:prstGeom prst="rect">
          <a:avLst/>
        </a:prstGeom>
      </xdr:spPr>
    </xdr:pic>
    <xdr:clientData/>
  </xdr:twoCellAnchor>
  <xdr:twoCellAnchor editAs="oneCell">
    <xdr:from>
      <xdr:col>88</xdr:col>
      <xdr:colOff>0</xdr:colOff>
      <xdr:row>1</xdr:row>
      <xdr:rowOff>0</xdr:rowOff>
    </xdr:from>
    <xdr:to>
      <xdr:col>96</xdr:col>
      <xdr:colOff>370819</xdr:colOff>
      <xdr:row>42</xdr:row>
      <xdr:rowOff>113456</xdr:rowOff>
    </xdr:to>
    <xdr:pic>
      <xdr:nvPicPr>
        <xdr:cNvPr id="12" name="Picture 11">
          <a:extLst>
            <a:ext uri="{FF2B5EF4-FFF2-40B4-BE49-F238E27FC236}">
              <a16:creationId xmlns:a16="http://schemas.microsoft.com/office/drawing/2014/main" id="{A6B281EE-8778-668C-DF36-F2566FEC92E8}"/>
            </a:ext>
          </a:extLst>
        </xdr:cNvPr>
        <xdr:cNvPicPr>
          <a:picLocks noChangeAspect="1"/>
        </xdr:cNvPicPr>
      </xdr:nvPicPr>
      <xdr:blipFill>
        <a:blip xmlns:r="http://schemas.openxmlformats.org/officeDocument/2006/relationships" r:embed="rId10"/>
        <a:stretch>
          <a:fillRect/>
        </a:stretch>
      </xdr:blipFill>
      <xdr:spPr>
        <a:xfrm>
          <a:off x="53644800" y="161925"/>
          <a:ext cx="5247619" cy="6752381"/>
        </a:xfrm>
        <a:prstGeom prst="rect">
          <a:avLst/>
        </a:prstGeom>
      </xdr:spPr>
    </xdr:pic>
    <xdr:clientData/>
  </xdr:twoCellAnchor>
  <xdr:twoCellAnchor editAs="oneCell">
    <xdr:from>
      <xdr:col>98</xdr:col>
      <xdr:colOff>0</xdr:colOff>
      <xdr:row>1</xdr:row>
      <xdr:rowOff>0</xdr:rowOff>
    </xdr:from>
    <xdr:to>
      <xdr:col>106</xdr:col>
      <xdr:colOff>304152</xdr:colOff>
      <xdr:row>42</xdr:row>
      <xdr:rowOff>75361</xdr:rowOff>
    </xdr:to>
    <xdr:pic>
      <xdr:nvPicPr>
        <xdr:cNvPr id="13" name="Picture 12">
          <a:extLst>
            <a:ext uri="{FF2B5EF4-FFF2-40B4-BE49-F238E27FC236}">
              <a16:creationId xmlns:a16="http://schemas.microsoft.com/office/drawing/2014/main" id="{16B5D06E-543F-66C5-6A1B-4A884CF1CA66}"/>
            </a:ext>
          </a:extLst>
        </xdr:cNvPr>
        <xdr:cNvPicPr>
          <a:picLocks noChangeAspect="1"/>
        </xdr:cNvPicPr>
      </xdr:nvPicPr>
      <xdr:blipFill>
        <a:blip xmlns:r="http://schemas.openxmlformats.org/officeDocument/2006/relationships" r:embed="rId11"/>
        <a:stretch>
          <a:fillRect/>
        </a:stretch>
      </xdr:blipFill>
      <xdr:spPr>
        <a:xfrm>
          <a:off x="59740800" y="161925"/>
          <a:ext cx="5180952" cy="6714286"/>
        </a:xfrm>
        <a:prstGeom prst="rect">
          <a:avLst/>
        </a:prstGeom>
      </xdr:spPr>
    </xdr:pic>
    <xdr:clientData/>
  </xdr:twoCellAnchor>
  <xdr:twoCellAnchor editAs="oneCell">
    <xdr:from>
      <xdr:col>108</xdr:col>
      <xdr:colOff>0</xdr:colOff>
      <xdr:row>1</xdr:row>
      <xdr:rowOff>0</xdr:rowOff>
    </xdr:from>
    <xdr:to>
      <xdr:col>116</xdr:col>
      <xdr:colOff>323200</xdr:colOff>
      <xdr:row>42</xdr:row>
      <xdr:rowOff>56313</xdr:rowOff>
    </xdr:to>
    <xdr:pic>
      <xdr:nvPicPr>
        <xdr:cNvPr id="14" name="Picture 13">
          <a:extLst>
            <a:ext uri="{FF2B5EF4-FFF2-40B4-BE49-F238E27FC236}">
              <a16:creationId xmlns:a16="http://schemas.microsoft.com/office/drawing/2014/main" id="{1156B160-7678-3EBF-453A-667955FBF115}"/>
            </a:ext>
          </a:extLst>
        </xdr:cNvPr>
        <xdr:cNvPicPr>
          <a:picLocks noChangeAspect="1"/>
        </xdr:cNvPicPr>
      </xdr:nvPicPr>
      <xdr:blipFill>
        <a:blip xmlns:r="http://schemas.openxmlformats.org/officeDocument/2006/relationships" r:embed="rId12"/>
        <a:stretch>
          <a:fillRect/>
        </a:stretch>
      </xdr:blipFill>
      <xdr:spPr>
        <a:xfrm>
          <a:off x="65836800" y="161925"/>
          <a:ext cx="5200000" cy="66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1420091</xdr:colOff>
      <xdr:row>3</xdr:row>
      <xdr:rowOff>26518</xdr:rowOff>
    </xdr:from>
    <xdr:to>
      <xdr:col>14</xdr:col>
      <xdr:colOff>916773</xdr:colOff>
      <xdr:row>11</xdr:row>
      <xdr:rowOff>167368</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02455" y="701927"/>
          <a:ext cx="1800000" cy="1941941"/>
        </a:xfrm>
        <a:prstGeom prst="rect">
          <a:avLst/>
        </a:prstGeom>
      </xdr:spPr>
    </xdr:pic>
    <xdr:clientData/>
  </xdr:twoCellAnchor>
  <xdr:oneCellAnchor>
    <xdr:from>
      <xdr:col>0</xdr:col>
      <xdr:colOff>0</xdr:colOff>
      <xdr:row>0</xdr:row>
      <xdr:rowOff>0</xdr:rowOff>
    </xdr:from>
    <xdr:ext cx="27293454" cy="4623955"/>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0" y="0"/>
          <a:ext cx="27293454" cy="4623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n-US" sz="2000" b="1" i="0">
            <a:latin typeface="+mn-lt"/>
          </a:endParaRPr>
        </a:p>
        <a:p>
          <a:pPr algn="ctr"/>
          <a:r>
            <a:rPr lang="en-US" sz="2000" b="1" i="0">
              <a:latin typeface="+mn-lt"/>
            </a:rPr>
            <a:t>Republic</a:t>
          </a:r>
          <a:r>
            <a:rPr lang="en-US" sz="2000" b="1" i="0" baseline="0">
              <a:latin typeface="+mn-lt"/>
            </a:rPr>
            <a:t> of the Philippines</a:t>
          </a:r>
        </a:p>
        <a:p>
          <a:pPr algn="ctr"/>
          <a:r>
            <a:rPr lang="en-US" sz="2000" b="1" baseline="0">
              <a:latin typeface="+mn-lt"/>
            </a:rPr>
            <a:t>Tarlac State University</a:t>
          </a:r>
        </a:p>
        <a:p>
          <a:pPr algn="ctr"/>
          <a:r>
            <a:rPr lang="en-US" sz="2000" b="1" baseline="0">
              <a:latin typeface="+mn-lt"/>
            </a:rPr>
            <a:t>Facilities Development and Management Office</a:t>
          </a:r>
        </a:p>
        <a:p>
          <a:pPr algn="ctr"/>
          <a:r>
            <a:rPr lang="en-US" sz="2000" b="1" baseline="0">
              <a:latin typeface="+mn-lt"/>
            </a:rPr>
            <a:t>Planning and Monitoring Unit</a:t>
          </a:r>
        </a:p>
        <a:p>
          <a:pPr algn="ctr"/>
          <a:r>
            <a:rPr lang="en-US" sz="2000" baseline="0">
              <a:latin typeface="+mn-lt"/>
            </a:rPr>
            <a:t>Romulo Boulevard, San Vicnete, Tarlac City</a:t>
          </a:r>
        </a:p>
        <a:p>
          <a:pPr algn="ctr"/>
          <a:r>
            <a:rPr lang="en-US" sz="2000" baseline="0">
              <a:latin typeface="+mn-lt"/>
            </a:rPr>
            <a:t>Tel. No. (045) 982-1624; (045) 606-8160</a:t>
          </a:r>
        </a:p>
        <a:p>
          <a:pPr algn="ctr"/>
          <a:endParaRPr lang="en-US" sz="2000" baseline="0">
            <a:latin typeface="+mn-lt"/>
          </a:endParaRPr>
        </a:p>
        <a:p>
          <a:pPr algn="ctr"/>
          <a:r>
            <a:rPr lang="en-US" sz="2000" b="1" baseline="0">
              <a:latin typeface="+mn-lt"/>
            </a:rPr>
            <a:t>Project: REHABILITATION OF THE COLLEGE OF EDUCATION BUILDING</a:t>
          </a:r>
        </a:p>
        <a:p>
          <a:pPr algn="ctr"/>
          <a:r>
            <a:rPr lang="en-US" sz="2000" b="1" baseline="0">
              <a:latin typeface="+mn-lt"/>
            </a:rPr>
            <a:t>Location: Lucinda Extension Campus, Tarlac State University</a:t>
          </a:r>
        </a:p>
        <a:p>
          <a:pPr algn="ctr"/>
          <a:r>
            <a:rPr lang="en-US" sz="2000" b="1" baseline="0">
              <a:latin typeface="+mn-lt"/>
            </a:rPr>
            <a:t>Duration: 300 Calendar Days</a:t>
          </a:r>
        </a:p>
        <a:p>
          <a:pPr algn="ctr"/>
          <a:endParaRPr lang="en-US" sz="2000" b="1" baseline="0">
            <a:latin typeface="+mn-lt"/>
          </a:endParaRPr>
        </a:p>
        <a:p>
          <a:pPr algn="ctr"/>
          <a:r>
            <a:rPr lang="en-US" sz="2400" b="1" baseline="0">
              <a:latin typeface="+mn-lt"/>
            </a:rPr>
            <a:t>APPROVED BUDGET FOR THE CONTRACT</a:t>
          </a:r>
        </a:p>
        <a:p>
          <a:pPr algn="ctr"/>
          <a:endParaRPr lang="en-US" sz="1400" baseline="0"/>
        </a:p>
      </xdr:txBody>
    </xdr:sp>
    <xdr:clientData/>
  </xdr:oneCellAnchor>
  <xdr:twoCellAnchor>
    <xdr:from>
      <xdr:col>0</xdr:col>
      <xdr:colOff>813954</xdr:colOff>
      <xdr:row>2</xdr:row>
      <xdr:rowOff>191227</xdr:rowOff>
    </xdr:from>
    <xdr:to>
      <xdr:col>1</xdr:col>
      <xdr:colOff>975545</xdr:colOff>
      <xdr:row>11</xdr:row>
      <xdr:rowOff>145000</xdr:rowOff>
    </xdr:to>
    <xdr:pic>
      <xdr:nvPicPr>
        <xdr:cNvPr id="2" name="Picture 2" descr="TSU Logo">
          <a:extLst>
            <a:ext uri="{FF2B5EF4-FFF2-40B4-BE49-F238E27FC236}">
              <a16:creationId xmlns:a16="http://schemas.microsoft.com/office/drawing/2014/main" id="{00000000-0008-0000-0200-00000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4" y="641500"/>
          <a:ext cx="198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571500</xdr:colOff>
      <xdr:row>14</xdr:row>
      <xdr:rowOff>22776</xdr:rowOff>
    </xdr:from>
    <xdr:to>
      <xdr:col>5</xdr:col>
      <xdr:colOff>733425</xdr:colOff>
      <xdr:row>14</xdr:row>
      <xdr:rowOff>165651</xdr:rowOff>
    </xdr:to>
    <xdr:sp macro="" textlink="">
      <xdr:nvSpPr>
        <xdr:cNvPr id="2" name="Rectangle 2">
          <a:extLst>
            <a:ext uri="{FF2B5EF4-FFF2-40B4-BE49-F238E27FC236}">
              <a16:creationId xmlns:a16="http://schemas.microsoft.com/office/drawing/2014/main" id="{00000000-0008-0000-0900-000002000000}"/>
            </a:ext>
          </a:extLst>
        </xdr:cNvPr>
        <xdr:cNvSpPr>
          <a:spLocks noChangeArrowheads="1"/>
        </xdr:cNvSpPr>
      </xdr:nvSpPr>
      <xdr:spPr bwMode="auto">
        <a:xfrm>
          <a:off x="3619500" y="2823126"/>
          <a:ext cx="38100" cy="142875"/>
        </a:xfrm>
        <a:prstGeom prst="rect">
          <a:avLst/>
        </a:prstGeom>
        <a:solidFill>
          <a:srgbClr val="FFFFFF"/>
        </a:solidFill>
        <a:ln w="12700">
          <a:solidFill>
            <a:srgbClr val="000000"/>
          </a:solidFill>
          <a:miter lim="800000"/>
          <a:headEnd/>
          <a:tailEnd/>
        </a:ln>
      </xdr:spPr>
    </xdr:sp>
    <xdr:clientData/>
  </xdr:twoCellAnchor>
  <xdr:twoCellAnchor>
    <xdr:from>
      <xdr:col>5</xdr:col>
      <xdr:colOff>571500</xdr:colOff>
      <xdr:row>15</xdr:row>
      <xdr:rowOff>3726</xdr:rowOff>
    </xdr:from>
    <xdr:to>
      <xdr:col>5</xdr:col>
      <xdr:colOff>733425</xdr:colOff>
      <xdr:row>15</xdr:row>
      <xdr:rowOff>156126</xdr:rowOff>
    </xdr:to>
    <xdr:sp macro="" textlink="">
      <xdr:nvSpPr>
        <xdr:cNvPr id="3" name="Rectangle 3">
          <a:extLst>
            <a:ext uri="{FF2B5EF4-FFF2-40B4-BE49-F238E27FC236}">
              <a16:creationId xmlns:a16="http://schemas.microsoft.com/office/drawing/2014/main" id="{00000000-0008-0000-0900-000003000000}"/>
            </a:ext>
          </a:extLst>
        </xdr:cNvPr>
        <xdr:cNvSpPr>
          <a:spLocks noChangeArrowheads="1"/>
        </xdr:cNvSpPr>
      </xdr:nvSpPr>
      <xdr:spPr bwMode="auto">
        <a:xfrm>
          <a:off x="3619500" y="3004101"/>
          <a:ext cx="38100" cy="152400"/>
        </a:xfrm>
        <a:prstGeom prst="rect">
          <a:avLst/>
        </a:prstGeom>
        <a:solidFill>
          <a:srgbClr val="FFFFFF"/>
        </a:solidFill>
        <a:ln w="12700">
          <a:solidFill>
            <a:srgbClr val="000000"/>
          </a:solidFill>
          <a:miter lim="800000"/>
          <a:headEnd/>
          <a:tailEnd/>
        </a:ln>
      </xdr:spPr>
    </xdr:sp>
    <xdr:clientData/>
  </xdr:twoCellAnchor>
  <xdr:twoCellAnchor>
    <xdr:from>
      <xdr:col>5</xdr:col>
      <xdr:colOff>571500</xdr:colOff>
      <xdr:row>16</xdr:row>
      <xdr:rowOff>2484</xdr:rowOff>
    </xdr:from>
    <xdr:to>
      <xdr:col>5</xdr:col>
      <xdr:colOff>733425</xdr:colOff>
      <xdr:row>16</xdr:row>
      <xdr:rowOff>173934</xdr:rowOff>
    </xdr:to>
    <xdr:sp macro="" textlink="">
      <xdr:nvSpPr>
        <xdr:cNvPr id="4" name="Rectangle 4">
          <a:extLst>
            <a:ext uri="{FF2B5EF4-FFF2-40B4-BE49-F238E27FC236}">
              <a16:creationId xmlns:a16="http://schemas.microsoft.com/office/drawing/2014/main" id="{00000000-0008-0000-0900-000004000000}"/>
            </a:ext>
          </a:extLst>
        </xdr:cNvPr>
        <xdr:cNvSpPr>
          <a:spLocks noChangeArrowheads="1"/>
        </xdr:cNvSpPr>
      </xdr:nvSpPr>
      <xdr:spPr bwMode="auto">
        <a:xfrm>
          <a:off x="3619500" y="3202884"/>
          <a:ext cx="38100" cy="171450"/>
        </a:xfrm>
        <a:prstGeom prst="rect">
          <a:avLst/>
        </a:prstGeom>
        <a:solidFill>
          <a:srgbClr val="FFFFFF"/>
        </a:solidFill>
        <a:ln w="12700">
          <a:solidFill>
            <a:srgbClr val="000000"/>
          </a:solidFill>
          <a:miter lim="800000"/>
          <a:headEnd/>
          <a:tailEnd/>
        </a:ln>
      </xdr:spPr>
    </xdr:sp>
    <xdr:clientData/>
  </xdr:twoCellAnchor>
  <xdr:twoCellAnchor>
    <xdr:from>
      <xdr:col>5</xdr:col>
      <xdr:colOff>571500</xdr:colOff>
      <xdr:row>17</xdr:row>
      <xdr:rowOff>10761</xdr:rowOff>
    </xdr:from>
    <xdr:to>
      <xdr:col>5</xdr:col>
      <xdr:colOff>733425</xdr:colOff>
      <xdr:row>17</xdr:row>
      <xdr:rowOff>182211</xdr:rowOff>
    </xdr:to>
    <xdr:sp macro="" textlink="">
      <xdr:nvSpPr>
        <xdr:cNvPr id="5" name="Rectangle 4">
          <a:extLst>
            <a:ext uri="{FF2B5EF4-FFF2-40B4-BE49-F238E27FC236}">
              <a16:creationId xmlns:a16="http://schemas.microsoft.com/office/drawing/2014/main" id="{00000000-0008-0000-0900-000005000000}"/>
            </a:ext>
          </a:extLst>
        </xdr:cNvPr>
        <xdr:cNvSpPr>
          <a:spLocks noChangeArrowheads="1"/>
        </xdr:cNvSpPr>
      </xdr:nvSpPr>
      <xdr:spPr bwMode="auto">
        <a:xfrm>
          <a:off x="3619500" y="3411186"/>
          <a:ext cx="38100" cy="171450"/>
        </a:xfrm>
        <a:prstGeom prst="rect">
          <a:avLst/>
        </a:prstGeom>
        <a:solidFill>
          <a:srgbClr val="FFFFFF"/>
        </a:solidFill>
        <a:ln w="12700">
          <a:solidFill>
            <a:srgbClr val="000000"/>
          </a:solidFill>
          <a:miter lim="800000"/>
          <a:headEnd/>
          <a:tailEnd/>
        </a:ln>
      </xdr:spPr>
    </xdr:sp>
    <xdr:clientData/>
  </xdr:twoCellAnchor>
  <xdr:twoCellAnchor>
    <xdr:from>
      <xdr:col>5</xdr:col>
      <xdr:colOff>606830</xdr:colOff>
      <xdr:row>17</xdr:row>
      <xdr:rowOff>52176</xdr:rowOff>
    </xdr:from>
    <xdr:to>
      <xdr:col>5</xdr:col>
      <xdr:colOff>702080</xdr:colOff>
      <xdr:row>17</xdr:row>
      <xdr:rowOff>137901</xdr:rowOff>
    </xdr:to>
    <xdr:sp macro="" textlink="">
      <xdr:nvSpPr>
        <xdr:cNvPr id="6" name="Flowchart: Connector 5">
          <a:extLst>
            <a:ext uri="{FF2B5EF4-FFF2-40B4-BE49-F238E27FC236}">
              <a16:creationId xmlns:a16="http://schemas.microsoft.com/office/drawing/2014/main" id="{00000000-0008-0000-0900-000006000000}"/>
            </a:ext>
          </a:extLst>
        </xdr:cNvPr>
        <xdr:cNvSpPr>
          <a:spLocks noChangeArrowheads="1"/>
        </xdr:cNvSpPr>
      </xdr:nvSpPr>
      <xdr:spPr bwMode="auto">
        <a:xfrm>
          <a:off x="4277618" y="3224734"/>
          <a:ext cx="95250" cy="85725"/>
        </a:xfrm>
        <a:prstGeom prst="flowChartConnector">
          <a:avLst/>
        </a:prstGeom>
        <a:solidFill>
          <a:srgbClr val="000000"/>
        </a:solidFill>
        <a:ln w="1587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28575</xdr:colOff>
      <xdr:row>31</xdr:row>
      <xdr:rowOff>28575</xdr:rowOff>
    </xdr:from>
    <xdr:to>
      <xdr:col>3</xdr:col>
      <xdr:colOff>200025</xdr:colOff>
      <xdr:row>31</xdr:row>
      <xdr:rowOff>200025</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1857375" y="6029325"/>
          <a:ext cx="171450" cy="17145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28575</xdr:colOff>
      <xdr:row>31</xdr:row>
      <xdr:rowOff>28575</xdr:rowOff>
    </xdr:from>
    <xdr:to>
      <xdr:col>1</xdr:col>
      <xdr:colOff>200025</xdr:colOff>
      <xdr:row>31</xdr:row>
      <xdr:rowOff>200025</xdr:rowOff>
    </xdr:to>
    <xdr:sp macro="" textlink="">
      <xdr:nvSpPr>
        <xdr:cNvPr id="3" name="Rectangle 4">
          <a:extLst>
            <a:ext uri="{FF2B5EF4-FFF2-40B4-BE49-F238E27FC236}">
              <a16:creationId xmlns:a16="http://schemas.microsoft.com/office/drawing/2014/main" id="{00000000-0008-0000-0A00-000003000000}"/>
            </a:ext>
          </a:extLst>
        </xdr:cNvPr>
        <xdr:cNvSpPr>
          <a:spLocks noChangeArrowheads="1"/>
        </xdr:cNvSpPr>
      </xdr:nvSpPr>
      <xdr:spPr bwMode="auto">
        <a:xfrm>
          <a:off x="638175" y="6029325"/>
          <a:ext cx="171450" cy="17145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xdr:colOff>
      <xdr:row>24</xdr:row>
      <xdr:rowOff>57150</xdr:rowOff>
    </xdr:from>
    <xdr:to>
      <xdr:col>1</xdr:col>
      <xdr:colOff>152400</xdr:colOff>
      <xdr:row>24</xdr:row>
      <xdr:rowOff>142875</xdr:rowOff>
    </xdr:to>
    <xdr:sp macro="" textlink="">
      <xdr:nvSpPr>
        <xdr:cNvPr id="4" name="Flowchart: Connector 5">
          <a:extLst>
            <a:ext uri="{FF2B5EF4-FFF2-40B4-BE49-F238E27FC236}">
              <a16:creationId xmlns:a16="http://schemas.microsoft.com/office/drawing/2014/main" id="{00000000-0008-0000-0A00-000004000000}"/>
            </a:ext>
          </a:extLst>
        </xdr:cNvPr>
        <xdr:cNvSpPr>
          <a:spLocks noChangeArrowheads="1"/>
        </xdr:cNvSpPr>
      </xdr:nvSpPr>
      <xdr:spPr bwMode="auto">
        <a:xfrm>
          <a:off x="666750" y="4657725"/>
          <a:ext cx="95250" cy="85725"/>
        </a:xfrm>
        <a:prstGeom prst="flowChartConnector">
          <a:avLst/>
        </a:prstGeom>
        <a:solidFill>
          <a:srgbClr val="000000"/>
        </a:solidFill>
        <a:ln w="15875">
          <a:solidFill>
            <a:srgbClr val="000000"/>
          </a:solidFill>
          <a:round/>
          <a:headEnd/>
          <a:tailEnd/>
        </a:ln>
      </xdr:spPr>
    </xdr:sp>
    <xdr:clientData/>
  </xdr:twoCellAnchor>
  <xdr:twoCellAnchor>
    <xdr:from>
      <xdr:col>1</xdr:col>
      <xdr:colOff>57150</xdr:colOff>
      <xdr:row>37</xdr:row>
      <xdr:rowOff>57150</xdr:rowOff>
    </xdr:from>
    <xdr:to>
      <xdr:col>1</xdr:col>
      <xdr:colOff>152400</xdr:colOff>
      <xdr:row>37</xdr:row>
      <xdr:rowOff>142875</xdr:rowOff>
    </xdr:to>
    <xdr:sp macro="" textlink="">
      <xdr:nvSpPr>
        <xdr:cNvPr id="5" name="Flowchart: Connector 5">
          <a:extLst>
            <a:ext uri="{FF2B5EF4-FFF2-40B4-BE49-F238E27FC236}">
              <a16:creationId xmlns:a16="http://schemas.microsoft.com/office/drawing/2014/main" id="{00000000-0008-0000-0A00-000005000000}"/>
            </a:ext>
          </a:extLst>
        </xdr:cNvPr>
        <xdr:cNvSpPr>
          <a:spLocks noChangeArrowheads="1"/>
        </xdr:cNvSpPr>
      </xdr:nvSpPr>
      <xdr:spPr bwMode="auto">
        <a:xfrm>
          <a:off x="666750" y="7258050"/>
          <a:ext cx="95250" cy="85725"/>
        </a:xfrm>
        <a:prstGeom prst="flowChartConnector">
          <a:avLst/>
        </a:prstGeom>
        <a:solidFill>
          <a:srgbClr val="000000"/>
        </a:solidFill>
        <a:ln w="1587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sueduph-my.sharepoint.com/Users/HP/Desktop/ALEXANDER%20JHON%20TABAQUERO/CBA%20CR%20AND%20CET%20LIB/Finale/Bidding%20Documents/CET%20COS%20BOQ.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s>
    <sheetDataSet>
      <sheetData sheetId="0">
        <row r="15">
          <cell r="A15">
            <v>1</v>
          </cell>
        </row>
        <row r="16">
          <cell r="E16">
            <v>1</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80436-F992-4416-8709-C20FD2BE3676}">
  <sheetPr codeName="Sheet1">
    <pageSetUpPr fitToPage="1"/>
  </sheetPr>
  <dimension ref="A1:AI470"/>
  <sheetViews>
    <sheetView view="pageBreakPreview" topLeftCell="A263" zoomScale="55" zoomScaleNormal="55" zoomScaleSheetLayoutView="55" zoomScalePageLayoutView="50" workbookViewId="0">
      <selection activeCell="P372" sqref="A270:P372"/>
    </sheetView>
  </sheetViews>
  <sheetFormatPr baseColWidth="10" defaultColWidth="9.1640625" defaultRowHeight="18" outlineLevelRow="2" x14ac:dyDescent="0.2"/>
  <cols>
    <col min="1" max="1" width="22.83203125" style="109" customWidth="1"/>
    <col min="2" max="2" width="100.6640625" style="136" customWidth="1"/>
    <col min="3" max="3" width="15.6640625" style="100" customWidth="1"/>
    <col min="4" max="4" width="15.6640625" style="107" customWidth="1"/>
    <col min="5" max="6" width="20.6640625" style="100" customWidth="1"/>
    <col min="7" max="7" width="25.6640625" style="99" customWidth="1"/>
    <col min="8" max="11" width="20.6640625" style="99" customWidth="1"/>
    <col min="12" max="13" width="25.6640625" style="99" customWidth="1"/>
    <col min="14" max="15" width="30.6640625" style="99" customWidth="1"/>
    <col min="16" max="18" width="25.83203125" style="393" bestFit="1" customWidth="1"/>
    <col min="19" max="19" width="24.5" style="393" bestFit="1" customWidth="1"/>
    <col min="20" max="22" width="9.1640625" style="99"/>
    <col min="23" max="23" width="19.5" style="99" bestFit="1" customWidth="1"/>
    <col min="24" max="16384" width="9.1640625" style="99"/>
  </cols>
  <sheetData>
    <row r="1" spans="2:14" x14ac:dyDescent="0.2">
      <c r="B1" s="134"/>
      <c r="C1" s="98"/>
      <c r="D1" s="106"/>
      <c r="E1" s="98"/>
      <c r="F1" s="98"/>
      <c r="G1" s="102"/>
      <c r="I1" s="102"/>
      <c r="J1" s="102"/>
      <c r="K1" s="102"/>
      <c r="L1" s="102"/>
      <c r="M1" s="102"/>
      <c r="N1" s="102"/>
    </row>
    <row r="2" spans="2:14" x14ac:dyDescent="0.2">
      <c r="B2" s="134"/>
      <c r="C2" s="98"/>
      <c r="D2" s="106"/>
      <c r="E2" s="98"/>
      <c r="F2" s="98"/>
      <c r="H2" s="778"/>
      <c r="I2" s="778"/>
      <c r="J2" s="102"/>
      <c r="K2" s="102"/>
      <c r="L2" s="102"/>
      <c r="M2" s="102"/>
      <c r="N2" s="102"/>
    </row>
    <row r="3" spans="2:14" x14ac:dyDescent="0.2">
      <c r="B3" s="134"/>
      <c r="C3" s="98"/>
      <c r="D3" s="106"/>
      <c r="E3" s="98"/>
      <c r="F3" s="98"/>
      <c r="G3" s="102"/>
      <c r="H3" s="779"/>
      <c r="I3" s="779"/>
      <c r="J3" s="102"/>
      <c r="K3" s="102"/>
      <c r="L3" s="102"/>
      <c r="M3" s="102"/>
      <c r="N3" s="102"/>
    </row>
    <row r="4" spans="2:14" x14ac:dyDescent="0.2">
      <c r="B4" s="134"/>
      <c r="G4" s="779"/>
      <c r="H4" s="779"/>
      <c r="I4" s="779"/>
      <c r="J4" s="779"/>
    </row>
    <row r="5" spans="2:14" x14ac:dyDescent="0.2">
      <c r="B5" s="134"/>
      <c r="G5" s="780"/>
      <c r="H5" s="780"/>
      <c r="I5" s="780"/>
      <c r="J5" s="780"/>
    </row>
    <row r="6" spans="2:14" x14ac:dyDescent="0.2">
      <c r="B6" s="134"/>
      <c r="G6" s="780"/>
      <c r="H6" s="780"/>
      <c r="I6" s="780"/>
      <c r="J6" s="780"/>
    </row>
    <row r="7" spans="2:14" x14ac:dyDescent="0.2">
      <c r="B7" s="134"/>
      <c r="H7" s="101"/>
    </row>
    <row r="8" spans="2:14" x14ac:dyDescent="0.2">
      <c r="B8" s="134"/>
    </row>
    <row r="9" spans="2:14" x14ac:dyDescent="0.2">
      <c r="B9" s="134"/>
      <c r="I9" s="103"/>
    </row>
    <row r="10" spans="2:14" x14ac:dyDescent="0.2">
      <c r="B10" s="134"/>
      <c r="I10" s="103"/>
    </row>
    <row r="11" spans="2:14" x14ac:dyDescent="0.2">
      <c r="B11" s="134"/>
      <c r="I11" s="103"/>
    </row>
    <row r="12" spans="2:14" x14ac:dyDescent="0.2">
      <c r="B12" s="134"/>
      <c r="I12" s="103"/>
    </row>
    <row r="13" spans="2:14" x14ac:dyDescent="0.2">
      <c r="B13" s="134"/>
      <c r="I13" s="103"/>
    </row>
    <row r="14" spans="2:14" x14ac:dyDescent="0.2">
      <c r="B14" s="134"/>
      <c r="I14" s="103"/>
    </row>
    <row r="15" spans="2:14" x14ac:dyDescent="0.2">
      <c r="B15" s="134"/>
    </row>
    <row r="16" spans="2:14" ht="21" x14ac:dyDescent="0.25">
      <c r="B16" s="134"/>
      <c r="I16" s="104"/>
      <c r="J16" s="104"/>
      <c r="K16" s="104"/>
    </row>
    <row r="17" spans="1:19" ht="30.75" customHeight="1" x14ac:dyDescent="0.25">
      <c r="B17" s="134"/>
      <c r="I17" s="104"/>
      <c r="J17" s="104"/>
      <c r="K17" s="104"/>
    </row>
    <row r="18" spans="1:19" s="139" customFormat="1" ht="18.75" customHeight="1" x14ac:dyDescent="0.15">
      <c r="A18" s="776" t="s">
        <v>138</v>
      </c>
      <c r="B18" s="777" t="s">
        <v>19</v>
      </c>
      <c r="C18" s="775" t="s">
        <v>2</v>
      </c>
      <c r="D18" s="775" t="s">
        <v>0</v>
      </c>
      <c r="E18" s="775" t="s">
        <v>404</v>
      </c>
      <c r="F18" s="775" t="s">
        <v>346</v>
      </c>
      <c r="G18" s="770" t="s">
        <v>328</v>
      </c>
      <c r="H18" s="775" t="s">
        <v>327</v>
      </c>
      <c r="I18" s="775"/>
      <c r="J18" s="770" t="s">
        <v>332</v>
      </c>
      <c r="K18" s="770"/>
      <c r="L18" s="770" t="s">
        <v>333</v>
      </c>
      <c r="M18" s="770" t="s">
        <v>334</v>
      </c>
      <c r="N18" s="770" t="s">
        <v>335</v>
      </c>
      <c r="O18" s="770" t="s">
        <v>231</v>
      </c>
      <c r="P18" s="379"/>
      <c r="Q18" s="379"/>
      <c r="R18" s="379"/>
      <c r="S18" s="379"/>
    </row>
    <row r="19" spans="1:19" s="139" customFormat="1" ht="34.5" customHeight="1" x14ac:dyDescent="0.15">
      <c r="A19" s="776"/>
      <c r="B19" s="777"/>
      <c r="C19" s="775"/>
      <c r="D19" s="775"/>
      <c r="E19" s="775"/>
      <c r="F19" s="775"/>
      <c r="G19" s="770"/>
      <c r="H19" s="522" t="s">
        <v>329</v>
      </c>
      <c r="I19" s="522" t="s">
        <v>330</v>
      </c>
      <c r="J19" s="522" t="s">
        <v>331</v>
      </c>
      <c r="K19" s="522" t="s">
        <v>336</v>
      </c>
      <c r="L19" s="770"/>
      <c r="M19" s="770"/>
      <c r="N19" s="770"/>
      <c r="O19" s="770"/>
      <c r="P19" s="379"/>
      <c r="Q19" s="379"/>
      <c r="R19" s="379"/>
      <c r="S19" s="379"/>
    </row>
    <row r="20" spans="1:19" s="139" customFormat="1" ht="23.25" hidden="1" customHeight="1" x14ac:dyDescent="0.25">
      <c r="A20" s="776"/>
      <c r="B20" s="777"/>
      <c r="C20" s="521"/>
      <c r="D20" s="521"/>
      <c r="E20" s="521"/>
      <c r="F20" s="521"/>
      <c r="G20" s="770"/>
      <c r="H20" s="522"/>
      <c r="I20" s="522"/>
      <c r="J20" s="522"/>
      <c r="K20" s="522"/>
      <c r="L20" s="522"/>
      <c r="M20" s="522"/>
      <c r="N20" s="522"/>
      <c r="O20" s="523"/>
      <c r="P20" s="379"/>
      <c r="Q20" s="379"/>
      <c r="R20" s="379"/>
      <c r="S20" s="379"/>
    </row>
    <row r="21" spans="1:19" s="142" customFormat="1" ht="18.75" hidden="1" customHeight="1" x14ac:dyDescent="0.25">
      <c r="A21" s="776"/>
      <c r="B21" s="777"/>
      <c r="C21" s="524">
        <v>1</v>
      </c>
      <c r="D21" s="524" t="s">
        <v>18</v>
      </c>
      <c r="E21" s="524"/>
      <c r="F21" s="524"/>
      <c r="G21" s="770"/>
      <c r="H21" s="524" t="s">
        <v>177</v>
      </c>
      <c r="I21" s="524"/>
      <c r="J21" s="524"/>
      <c r="K21" s="524"/>
      <c r="L21" s="524"/>
      <c r="M21" s="524"/>
      <c r="N21" s="524"/>
      <c r="O21" s="523"/>
      <c r="P21" s="394"/>
      <c r="Q21" s="394"/>
      <c r="R21" s="394"/>
      <c r="S21" s="394"/>
    </row>
    <row r="22" spans="1:19" s="142" customFormat="1" ht="18.75" hidden="1" customHeight="1" x14ac:dyDescent="0.25">
      <c r="A22" s="776"/>
      <c r="B22" s="777"/>
      <c r="C22" s="524">
        <v>1</v>
      </c>
      <c r="D22" s="524" t="s">
        <v>18</v>
      </c>
      <c r="E22" s="524"/>
      <c r="F22" s="524"/>
      <c r="G22" s="770"/>
      <c r="H22" s="524"/>
      <c r="I22" s="524"/>
      <c r="J22" s="524"/>
      <c r="K22" s="524"/>
      <c r="L22" s="524"/>
      <c r="M22" s="524"/>
      <c r="N22" s="524"/>
      <c r="O22" s="523"/>
      <c r="P22" s="394"/>
      <c r="Q22" s="394"/>
      <c r="R22" s="394"/>
      <c r="S22" s="394"/>
    </row>
    <row r="23" spans="1:19" s="139" customFormat="1" ht="23.25" hidden="1" customHeight="1" x14ac:dyDescent="0.25">
      <c r="A23" s="776"/>
      <c r="B23" s="777"/>
      <c r="C23" s="524">
        <v>2</v>
      </c>
      <c r="D23" s="524" t="s">
        <v>18</v>
      </c>
      <c r="E23" s="524"/>
      <c r="F23" s="524"/>
      <c r="G23" s="770"/>
      <c r="H23" s="525"/>
      <c r="I23" s="525"/>
      <c r="J23" s="525"/>
      <c r="K23" s="525"/>
      <c r="L23" s="525"/>
      <c r="M23" s="525"/>
      <c r="N23" s="525"/>
      <c r="O23" s="523"/>
      <c r="P23" s="379"/>
      <c r="Q23" s="379"/>
      <c r="R23" s="379"/>
      <c r="S23" s="379"/>
    </row>
    <row r="24" spans="1:19" s="142" customFormat="1" ht="18.75" hidden="1" customHeight="1" x14ac:dyDescent="0.25">
      <c r="A24" s="776"/>
      <c r="B24" s="777"/>
      <c r="C24" s="524">
        <v>4</v>
      </c>
      <c r="D24" s="524" t="s">
        <v>18</v>
      </c>
      <c r="E24" s="524"/>
      <c r="F24" s="524"/>
      <c r="G24" s="770"/>
      <c r="H24" s="524"/>
      <c r="I24" s="524"/>
      <c r="J24" s="524"/>
      <c r="K24" s="524"/>
      <c r="L24" s="524"/>
      <c r="M24" s="524"/>
      <c r="N24" s="524"/>
      <c r="O24" s="523"/>
      <c r="P24" s="394"/>
      <c r="Q24" s="394"/>
      <c r="R24" s="394"/>
      <c r="S24" s="394"/>
    </row>
    <row r="25" spans="1:19" s="142" customFormat="1" ht="18.75" hidden="1" customHeight="1" x14ac:dyDescent="0.25">
      <c r="A25" s="776"/>
      <c r="B25" s="777"/>
      <c r="C25" s="524">
        <v>1</v>
      </c>
      <c r="D25" s="524" t="s">
        <v>1</v>
      </c>
      <c r="E25" s="524"/>
      <c r="F25" s="524"/>
      <c r="G25" s="770"/>
      <c r="H25" s="524"/>
      <c r="I25" s="524"/>
      <c r="J25" s="524"/>
      <c r="K25" s="524"/>
      <c r="L25" s="524"/>
      <c r="M25" s="524"/>
      <c r="N25" s="524"/>
      <c r="O25" s="523"/>
      <c r="P25" s="394"/>
      <c r="Q25" s="394"/>
      <c r="R25" s="394"/>
      <c r="S25" s="394"/>
    </row>
    <row r="26" spans="1:19" s="139" customFormat="1" ht="23.25" hidden="1" customHeight="1" x14ac:dyDescent="0.25">
      <c r="A26" s="776"/>
      <c r="B26" s="777"/>
      <c r="C26" s="524">
        <v>1</v>
      </c>
      <c r="D26" s="524" t="s">
        <v>1</v>
      </c>
      <c r="E26" s="524"/>
      <c r="F26" s="524"/>
      <c r="G26" s="770"/>
      <c r="H26" s="525"/>
      <c r="I26" s="525"/>
      <c r="J26" s="525"/>
      <c r="K26" s="525"/>
      <c r="L26" s="525"/>
      <c r="M26" s="525"/>
      <c r="N26" s="525"/>
      <c r="O26" s="523"/>
      <c r="P26" s="379"/>
      <c r="Q26" s="379"/>
      <c r="R26" s="379"/>
      <c r="S26" s="379"/>
    </row>
    <row r="27" spans="1:19" s="142" customFormat="1" ht="18.75" hidden="1" customHeight="1" x14ac:dyDescent="0.25">
      <c r="A27" s="776"/>
      <c r="B27" s="777"/>
      <c r="C27" s="524">
        <v>8</v>
      </c>
      <c r="D27" s="524" t="s">
        <v>18</v>
      </c>
      <c r="E27" s="524"/>
      <c r="F27" s="524"/>
      <c r="G27" s="770"/>
      <c r="H27" s="524"/>
      <c r="I27" s="524"/>
      <c r="J27" s="524"/>
      <c r="K27" s="524"/>
      <c r="L27" s="524"/>
      <c r="M27" s="524"/>
      <c r="N27" s="524"/>
      <c r="O27" s="523"/>
      <c r="P27" s="394"/>
      <c r="Q27" s="394"/>
      <c r="R27" s="394"/>
      <c r="S27" s="394"/>
    </row>
    <row r="28" spans="1:19" s="142" customFormat="1" ht="18.75" hidden="1" customHeight="1" x14ac:dyDescent="0.25">
      <c r="A28" s="776"/>
      <c r="B28" s="777"/>
      <c r="C28" s="524">
        <v>2</v>
      </c>
      <c r="D28" s="524" t="s">
        <v>18</v>
      </c>
      <c r="E28" s="524"/>
      <c r="F28" s="524"/>
      <c r="G28" s="770"/>
      <c r="H28" s="524"/>
      <c r="I28" s="524"/>
      <c r="J28" s="524"/>
      <c r="K28" s="524"/>
      <c r="L28" s="524"/>
      <c r="M28" s="524"/>
      <c r="N28" s="524"/>
      <c r="O28" s="523"/>
      <c r="P28" s="394"/>
      <c r="Q28" s="394"/>
      <c r="R28" s="394"/>
      <c r="S28" s="394"/>
    </row>
    <row r="29" spans="1:19" s="142" customFormat="1" ht="18.75" hidden="1" customHeight="1" x14ac:dyDescent="0.25">
      <c r="A29" s="776"/>
      <c r="B29" s="777"/>
      <c r="C29" s="524">
        <v>1</v>
      </c>
      <c r="D29" s="524" t="s">
        <v>18</v>
      </c>
      <c r="E29" s="524"/>
      <c r="F29" s="524"/>
      <c r="G29" s="770"/>
      <c r="H29" s="524"/>
      <c r="I29" s="524"/>
      <c r="J29" s="524"/>
      <c r="K29" s="524"/>
      <c r="L29" s="524"/>
      <c r="M29" s="524"/>
      <c r="N29" s="524"/>
      <c r="O29" s="523"/>
      <c r="P29" s="394"/>
      <c r="Q29" s="394"/>
      <c r="R29" s="394"/>
      <c r="S29" s="394"/>
    </row>
    <row r="30" spans="1:19" s="142" customFormat="1" ht="37.5" hidden="1" customHeight="1" x14ac:dyDescent="0.25">
      <c r="A30" s="776"/>
      <c r="B30" s="777"/>
      <c r="C30" s="524">
        <v>3</v>
      </c>
      <c r="D30" s="524" t="s">
        <v>18</v>
      </c>
      <c r="E30" s="524"/>
      <c r="F30" s="524"/>
      <c r="G30" s="770"/>
      <c r="H30" s="524"/>
      <c r="I30" s="524"/>
      <c r="J30" s="524"/>
      <c r="K30" s="524"/>
      <c r="L30" s="524"/>
      <c r="M30" s="524"/>
      <c r="N30" s="524"/>
      <c r="O30" s="523"/>
      <c r="P30" s="394"/>
      <c r="Q30" s="394"/>
      <c r="R30" s="394"/>
      <c r="S30" s="394"/>
    </row>
    <row r="31" spans="1:19" s="142" customFormat="1" ht="18.75" hidden="1" customHeight="1" x14ac:dyDescent="0.25">
      <c r="A31" s="776"/>
      <c r="B31" s="777"/>
      <c r="C31" s="524">
        <v>1</v>
      </c>
      <c r="D31" s="524" t="s">
        <v>18</v>
      </c>
      <c r="E31" s="524"/>
      <c r="F31" s="524"/>
      <c r="G31" s="770"/>
      <c r="H31" s="524"/>
      <c r="I31" s="524"/>
      <c r="J31" s="524"/>
      <c r="K31" s="524"/>
      <c r="L31" s="524"/>
      <c r="M31" s="524"/>
      <c r="N31" s="524"/>
      <c r="O31" s="523"/>
      <c r="P31" s="394"/>
      <c r="Q31" s="394"/>
      <c r="R31" s="394"/>
      <c r="S31" s="394"/>
    </row>
    <row r="32" spans="1:19" s="142" customFormat="1" ht="18.75" hidden="1" customHeight="1" x14ac:dyDescent="0.25">
      <c r="A32" s="776"/>
      <c r="B32" s="777"/>
      <c r="C32" s="524">
        <v>2</v>
      </c>
      <c r="D32" s="524" t="s">
        <v>18</v>
      </c>
      <c r="E32" s="524"/>
      <c r="F32" s="524"/>
      <c r="G32" s="770"/>
      <c r="H32" s="524"/>
      <c r="I32" s="524"/>
      <c r="J32" s="524"/>
      <c r="K32" s="524"/>
      <c r="L32" s="524"/>
      <c r="M32" s="524"/>
      <c r="N32" s="524"/>
      <c r="O32" s="523"/>
      <c r="P32" s="394"/>
      <c r="Q32" s="394"/>
      <c r="R32" s="394"/>
      <c r="S32" s="394"/>
    </row>
    <row r="33" spans="1:19" s="142" customFormat="1" ht="18.75" hidden="1" customHeight="1" x14ac:dyDescent="0.25">
      <c r="A33" s="776"/>
      <c r="B33" s="777"/>
      <c r="C33" s="524">
        <v>1</v>
      </c>
      <c r="D33" s="524" t="s">
        <v>18</v>
      </c>
      <c r="E33" s="524"/>
      <c r="F33" s="524"/>
      <c r="G33" s="770"/>
      <c r="H33" s="524"/>
      <c r="I33" s="524"/>
      <c r="J33" s="524"/>
      <c r="K33" s="524"/>
      <c r="L33" s="524"/>
      <c r="M33" s="524"/>
      <c r="N33" s="524"/>
      <c r="O33" s="523"/>
      <c r="P33" s="394"/>
      <c r="Q33" s="394"/>
      <c r="R33" s="394"/>
      <c r="S33" s="394"/>
    </row>
    <row r="34" spans="1:19" s="142" customFormat="1" ht="18.75" hidden="1" customHeight="1" x14ac:dyDescent="0.25">
      <c r="A34" s="776"/>
      <c r="B34" s="777"/>
      <c r="C34" s="524">
        <v>1</v>
      </c>
      <c r="D34" s="524" t="s">
        <v>18</v>
      </c>
      <c r="E34" s="524"/>
      <c r="F34" s="524"/>
      <c r="G34" s="770"/>
      <c r="H34" s="524"/>
      <c r="I34" s="524"/>
      <c r="J34" s="524"/>
      <c r="K34" s="524"/>
      <c r="L34" s="524"/>
      <c r="M34" s="524"/>
      <c r="N34" s="524"/>
      <c r="O34" s="523"/>
      <c r="P34" s="394"/>
      <c r="Q34" s="394"/>
      <c r="R34" s="394"/>
      <c r="S34" s="394"/>
    </row>
    <row r="35" spans="1:19" s="144" customFormat="1" ht="18.75" hidden="1" customHeight="1" x14ac:dyDescent="0.25">
      <c r="A35" s="776"/>
      <c r="B35" s="777"/>
      <c r="C35" s="524"/>
      <c r="D35" s="524"/>
      <c r="E35" s="524"/>
      <c r="F35" s="524"/>
      <c r="G35" s="770"/>
      <c r="H35" s="524"/>
      <c r="I35" s="524"/>
      <c r="J35" s="524"/>
      <c r="K35" s="524"/>
      <c r="L35" s="524"/>
      <c r="M35" s="524"/>
      <c r="N35" s="524"/>
      <c r="O35" s="523"/>
      <c r="P35" s="395"/>
      <c r="Q35" s="395"/>
      <c r="R35" s="395"/>
      <c r="S35" s="395"/>
    </row>
    <row r="36" spans="1:19" s="139" customFormat="1" ht="18.75" hidden="1" customHeight="1" x14ac:dyDescent="0.25">
      <c r="A36" s="776"/>
      <c r="B36" s="777"/>
      <c r="C36" s="524">
        <v>1</v>
      </c>
      <c r="D36" s="524" t="s">
        <v>1</v>
      </c>
      <c r="E36" s="524"/>
      <c r="F36" s="524"/>
      <c r="G36" s="770"/>
      <c r="H36" s="525"/>
      <c r="I36" s="525"/>
      <c r="J36" s="525"/>
      <c r="K36" s="525"/>
      <c r="L36" s="525"/>
      <c r="M36" s="525"/>
      <c r="N36" s="525"/>
      <c r="O36" s="523"/>
      <c r="P36" s="379"/>
      <c r="Q36" s="379"/>
      <c r="R36" s="379"/>
      <c r="S36" s="379"/>
    </row>
    <row r="37" spans="1:19" s="142" customFormat="1" ht="18.75" hidden="1" customHeight="1" x14ac:dyDescent="0.25">
      <c r="A37" s="776"/>
      <c r="B37" s="777"/>
      <c r="C37" s="524">
        <v>5</v>
      </c>
      <c r="D37" s="524" t="s">
        <v>1</v>
      </c>
      <c r="E37" s="524"/>
      <c r="F37" s="524"/>
      <c r="G37" s="770"/>
      <c r="H37" s="524"/>
      <c r="I37" s="524"/>
      <c r="J37" s="524"/>
      <c r="K37" s="524"/>
      <c r="L37" s="524"/>
      <c r="M37" s="524"/>
      <c r="N37" s="524"/>
      <c r="O37" s="523"/>
      <c r="P37" s="394"/>
      <c r="Q37" s="394"/>
      <c r="R37" s="394"/>
      <c r="S37" s="394"/>
    </row>
    <row r="38" spans="1:19" s="142" customFormat="1" ht="18.75" hidden="1" customHeight="1" x14ac:dyDescent="0.25">
      <c r="A38" s="776"/>
      <c r="B38" s="777"/>
      <c r="C38" s="524"/>
      <c r="D38" s="524"/>
      <c r="E38" s="524"/>
      <c r="F38" s="524"/>
      <c r="G38" s="770"/>
      <c r="H38" s="524"/>
      <c r="I38" s="524"/>
      <c r="J38" s="524"/>
      <c r="K38" s="524"/>
      <c r="L38" s="524"/>
      <c r="M38" s="524"/>
      <c r="N38" s="524"/>
      <c r="O38" s="523"/>
      <c r="P38" s="394"/>
      <c r="Q38" s="394"/>
      <c r="R38" s="394"/>
      <c r="S38" s="394"/>
    </row>
    <row r="39" spans="1:19" s="144" customFormat="1" ht="18.75" hidden="1" customHeight="1" x14ac:dyDescent="0.25">
      <c r="A39" s="776"/>
      <c r="B39" s="777"/>
      <c r="C39" s="524">
        <v>4</v>
      </c>
      <c r="D39" s="524" t="s">
        <v>18</v>
      </c>
      <c r="E39" s="524"/>
      <c r="F39" s="524"/>
      <c r="G39" s="770"/>
      <c r="H39" s="524">
        <v>1000</v>
      </c>
      <c r="I39" s="524">
        <v>220</v>
      </c>
      <c r="J39" s="524"/>
      <c r="K39" s="524"/>
      <c r="L39" s="524"/>
      <c r="M39" s="524"/>
      <c r="N39" s="524"/>
      <c r="O39" s="523"/>
      <c r="P39" s="395"/>
      <c r="Q39" s="395"/>
      <c r="R39" s="395"/>
      <c r="S39" s="395"/>
    </row>
    <row r="40" spans="1:19" s="144" customFormat="1" ht="18.75" hidden="1" customHeight="1" x14ac:dyDescent="0.25">
      <c r="A40" s="776"/>
      <c r="B40" s="777"/>
      <c r="C40" s="524">
        <v>1</v>
      </c>
      <c r="D40" s="524" t="s">
        <v>18</v>
      </c>
      <c r="E40" s="524"/>
      <c r="F40" s="524"/>
      <c r="G40" s="770"/>
      <c r="H40" s="524">
        <v>1000</v>
      </c>
      <c r="I40" s="524">
        <v>220</v>
      </c>
      <c r="J40" s="524"/>
      <c r="K40" s="524"/>
      <c r="L40" s="524"/>
      <c r="M40" s="524"/>
      <c r="N40" s="524"/>
      <c r="O40" s="523"/>
      <c r="P40" s="395"/>
      <c r="Q40" s="395"/>
      <c r="R40" s="395"/>
      <c r="S40" s="395"/>
    </row>
    <row r="41" spans="1:19" s="144" customFormat="1" ht="18.75" hidden="1" customHeight="1" x14ac:dyDescent="0.25">
      <c r="A41" s="776"/>
      <c r="B41" s="777"/>
      <c r="C41" s="524">
        <v>1</v>
      </c>
      <c r="D41" s="524" t="s">
        <v>18</v>
      </c>
      <c r="E41" s="524"/>
      <c r="F41" s="524"/>
      <c r="G41" s="770"/>
      <c r="H41" s="524">
        <v>1000</v>
      </c>
      <c r="I41" s="524">
        <v>220</v>
      </c>
      <c r="J41" s="524"/>
      <c r="K41" s="524"/>
      <c r="L41" s="524"/>
      <c r="M41" s="524"/>
      <c r="N41" s="524"/>
      <c r="O41" s="523"/>
      <c r="P41" s="395"/>
      <c r="Q41" s="395"/>
      <c r="R41" s="395"/>
      <c r="S41" s="395"/>
    </row>
    <row r="42" spans="1:19" s="144" customFormat="1" ht="18.75" hidden="1" customHeight="1" x14ac:dyDescent="0.25">
      <c r="A42" s="776"/>
      <c r="B42" s="777"/>
      <c r="C42" s="524">
        <v>1</v>
      </c>
      <c r="D42" s="524" t="s">
        <v>5</v>
      </c>
      <c r="E42" s="524"/>
      <c r="F42" s="524"/>
      <c r="G42" s="770"/>
      <c r="H42" s="524">
        <v>2400</v>
      </c>
      <c r="I42" s="525">
        <v>528</v>
      </c>
      <c r="J42" s="524"/>
      <c r="K42" s="524"/>
      <c r="L42" s="524"/>
      <c r="M42" s="524"/>
      <c r="N42" s="524"/>
      <c r="O42" s="523"/>
      <c r="P42" s="395"/>
      <c r="Q42" s="395"/>
      <c r="R42" s="395"/>
      <c r="S42" s="395"/>
    </row>
    <row r="43" spans="1:19" s="146" customFormat="1" ht="18.75" hidden="1" customHeight="1" x14ac:dyDescent="0.25">
      <c r="A43" s="776"/>
      <c r="B43" s="777"/>
      <c r="C43" s="524"/>
      <c r="D43" s="524"/>
      <c r="E43" s="524"/>
      <c r="F43" s="524"/>
      <c r="G43" s="770"/>
      <c r="H43" s="526"/>
      <c r="I43" s="526"/>
      <c r="J43" s="524"/>
      <c r="K43" s="524"/>
      <c r="L43" s="524"/>
      <c r="M43" s="526"/>
      <c r="N43" s="526"/>
      <c r="O43" s="523"/>
      <c r="P43" s="313"/>
      <c r="Q43" s="313"/>
      <c r="R43" s="313"/>
      <c r="S43" s="313"/>
    </row>
    <row r="44" spans="1:19" s="146" customFormat="1" ht="18.75" customHeight="1" x14ac:dyDescent="0.25">
      <c r="A44" s="776"/>
      <c r="B44" s="777"/>
      <c r="C44" s="527">
        <v>1</v>
      </c>
      <c r="D44" s="527" t="s">
        <v>405</v>
      </c>
      <c r="E44" s="527" t="s">
        <v>406</v>
      </c>
      <c r="F44" s="527" t="s">
        <v>407</v>
      </c>
      <c r="G44" s="527">
        <v>5</v>
      </c>
      <c r="H44" s="528">
        <v>6</v>
      </c>
      <c r="I44" s="528">
        <v>7</v>
      </c>
      <c r="J44" s="528">
        <v>8</v>
      </c>
      <c r="K44" s="528">
        <v>9</v>
      </c>
      <c r="L44" s="528">
        <v>10</v>
      </c>
      <c r="M44" s="528">
        <v>11</v>
      </c>
      <c r="N44" s="528">
        <v>12</v>
      </c>
      <c r="O44" s="528">
        <v>13</v>
      </c>
      <c r="P44" s="313"/>
      <c r="Q44" s="313"/>
      <c r="R44" s="313"/>
      <c r="S44" s="313"/>
    </row>
    <row r="45" spans="1:19" s="146" customFormat="1" ht="18.75" customHeight="1" x14ac:dyDescent="0.25">
      <c r="A45" s="776"/>
      <c r="B45" s="777"/>
      <c r="C45" s="526"/>
      <c r="D45" s="526"/>
      <c r="E45" s="526"/>
      <c r="F45" s="526"/>
      <c r="G45" s="526" t="s">
        <v>403</v>
      </c>
      <c r="H45" s="529"/>
      <c r="I45" s="529"/>
      <c r="J45" s="530" t="s">
        <v>337</v>
      </c>
      <c r="K45" s="530" t="s">
        <v>338</v>
      </c>
      <c r="L45" s="530" t="s">
        <v>339</v>
      </c>
      <c r="M45" s="530" t="s">
        <v>340</v>
      </c>
      <c r="N45" s="530" t="s">
        <v>341</v>
      </c>
      <c r="O45" s="530" t="s">
        <v>342</v>
      </c>
      <c r="P45" s="313"/>
      <c r="Q45" s="313"/>
      <c r="R45" s="313"/>
      <c r="S45" s="313"/>
    </row>
    <row r="46" spans="1:19" s="105" customFormat="1" ht="22" x14ac:dyDescent="0.25">
      <c r="A46" s="531">
        <v>1</v>
      </c>
      <c r="B46" s="532" t="s">
        <v>408</v>
      </c>
      <c r="C46" s="533"/>
      <c r="D46" s="534"/>
      <c r="E46" s="533"/>
      <c r="F46" s="533"/>
      <c r="G46" s="535"/>
      <c r="H46" s="536"/>
      <c r="I46" s="536"/>
      <c r="J46" s="537"/>
      <c r="K46" s="537"/>
      <c r="L46" s="537"/>
      <c r="M46" s="536"/>
      <c r="N46" s="538"/>
      <c r="O46" s="539"/>
      <c r="P46" s="354"/>
      <c r="Q46" s="354"/>
      <c r="R46" s="354"/>
      <c r="S46" s="354"/>
    </row>
    <row r="47" spans="1:19" s="105" customFormat="1" ht="22" x14ac:dyDescent="0.15">
      <c r="A47" s="540">
        <f>+A46+0.1</f>
        <v>1.1000000000000001</v>
      </c>
      <c r="B47" s="541" t="s">
        <v>388</v>
      </c>
      <c r="C47" s="542">
        <v>1</v>
      </c>
      <c r="D47" s="543" t="s">
        <v>5</v>
      </c>
      <c r="E47" s="544">
        <v>30000</v>
      </c>
      <c r="F47" s="544">
        <v>30000</v>
      </c>
      <c r="G47" s="545">
        <f t="shared" ref="G47:G49" si="0">E47+F47</f>
        <v>60000</v>
      </c>
      <c r="H47" s="545">
        <v>0</v>
      </c>
      <c r="I47" s="546">
        <v>0</v>
      </c>
      <c r="J47" s="545">
        <f>H47+I47</f>
        <v>0</v>
      </c>
      <c r="K47" s="545">
        <f t="shared" ref="K47:K49" si="1">J47%*G47</f>
        <v>0</v>
      </c>
      <c r="L47" s="545">
        <f>5%*((G47)+(K47))</f>
        <v>3000</v>
      </c>
      <c r="M47" s="545">
        <f t="shared" ref="M47:M49" si="2">K47+L47</f>
        <v>3000</v>
      </c>
      <c r="N47" s="547">
        <f t="shared" ref="N47:N49" si="3">(+M47+G47)*C47</f>
        <v>63000</v>
      </c>
      <c r="O47" s="545">
        <f t="shared" ref="O47:O49" si="4">N47/C47</f>
        <v>63000</v>
      </c>
      <c r="P47" s="355"/>
      <c r="Q47" s="355"/>
      <c r="R47" s="355"/>
      <c r="S47" s="355"/>
    </row>
    <row r="48" spans="1:19" s="105" customFormat="1" ht="22" x14ac:dyDescent="0.15">
      <c r="A48" s="540">
        <f>+A47+0.1</f>
        <v>1.2000000000000002</v>
      </c>
      <c r="B48" s="548" t="s">
        <v>901</v>
      </c>
      <c r="C48" s="542">
        <v>1</v>
      </c>
      <c r="D48" s="543" t="s">
        <v>5</v>
      </c>
      <c r="E48" s="544">
        <v>50000</v>
      </c>
      <c r="F48" s="544">
        <v>30000</v>
      </c>
      <c r="G48" s="545">
        <f t="shared" si="0"/>
        <v>80000</v>
      </c>
      <c r="H48" s="545">
        <v>0</v>
      </c>
      <c r="I48" s="546">
        <v>0</v>
      </c>
      <c r="J48" s="545">
        <f t="shared" ref="J48:J49" si="5">H48+I48</f>
        <v>0</v>
      </c>
      <c r="K48" s="545">
        <f t="shared" si="1"/>
        <v>0</v>
      </c>
      <c r="L48" s="545">
        <f t="shared" ref="L48:L49" si="6">5%*((G48)+(K48))</f>
        <v>4000</v>
      </c>
      <c r="M48" s="545">
        <f t="shared" si="2"/>
        <v>4000</v>
      </c>
      <c r="N48" s="547">
        <f t="shared" si="3"/>
        <v>84000</v>
      </c>
      <c r="O48" s="545">
        <f t="shared" si="4"/>
        <v>84000</v>
      </c>
      <c r="P48" s="355"/>
      <c r="Q48" s="355"/>
      <c r="R48" s="355"/>
      <c r="S48" s="355"/>
    </row>
    <row r="49" spans="1:19" s="105" customFormat="1" ht="22" x14ac:dyDescent="0.15">
      <c r="A49" s="540">
        <f>+A48+0.1</f>
        <v>1.3000000000000003</v>
      </c>
      <c r="B49" s="541" t="s">
        <v>390</v>
      </c>
      <c r="C49" s="542">
        <v>1</v>
      </c>
      <c r="D49" s="543" t="s">
        <v>5</v>
      </c>
      <c r="E49" s="544">
        <v>40000</v>
      </c>
      <c r="F49" s="544">
        <v>15000</v>
      </c>
      <c r="G49" s="545">
        <f t="shared" si="0"/>
        <v>55000</v>
      </c>
      <c r="H49" s="545">
        <v>0</v>
      </c>
      <c r="I49" s="546">
        <v>0</v>
      </c>
      <c r="J49" s="545">
        <f t="shared" si="5"/>
        <v>0</v>
      </c>
      <c r="K49" s="545">
        <f t="shared" si="1"/>
        <v>0</v>
      </c>
      <c r="L49" s="545">
        <f t="shared" si="6"/>
        <v>2750</v>
      </c>
      <c r="M49" s="545">
        <f t="shared" si="2"/>
        <v>2750</v>
      </c>
      <c r="N49" s="547">
        <f t="shared" si="3"/>
        <v>57750</v>
      </c>
      <c r="O49" s="545">
        <f t="shared" si="4"/>
        <v>57750</v>
      </c>
      <c r="P49" s="355"/>
      <c r="Q49" s="355"/>
      <c r="R49" s="355"/>
      <c r="S49" s="355"/>
    </row>
    <row r="50" spans="1:19" s="105" customFormat="1" ht="21" x14ac:dyDescent="0.15">
      <c r="A50" s="549"/>
      <c r="B50" s="550"/>
      <c r="C50" s="542"/>
      <c r="D50" s="543"/>
      <c r="E50" s="544"/>
      <c r="F50" s="544"/>
      <c r="G50" s="551"/>
      <c r="H50" s="552"/>
      <c r="I50" s="552"/>
      <c r="J50" s="552"/>
      <c r="K50" s="552"/>
      <c r="L50" s="553"/>
      <c r="M50" s="554" t="s">
        <v>343</v>
      </c>
      <c r="N50" s="555">
        <f>SUM(N47:N49)</f>
        <v>204750</v>
      </c>
      <c r="O50" s="556"/>
      <c r="P50" s="357">
        <f>+N50</f>
        <v>204750</v>
      </c>
      <c r="Q50" s="355"/>
      <c r="R50" s="371"/>
      <c r="S50" s="371"/>
    </row>
    <row r="51" spans="1:19" s="105" customFormat="1" ht="22" x14ac:dyDescent="0.15">
      <c r="A51" s="531">
        <v>2</v>
      </c>
      <c r="B51" s="557" t="s">
        <v>1486</v>
      </c>
      <c r="C51" s="558"/>
      <c r="D51" s="534"/>
      <c r="E51" s="533"/>
      <c r="F51" s="533"/>
      <c r="G51" s="559"/>
      <c r="H51" s="537"/>
      <c r="I51" s="537"/>
      <c r="J51" s="537"/>
      <c r="K51" s="537"/>
      <c r="L51" s="537"/>
      <c r="M51" s="537"/>
      <c r="N51" s="560"/>
      <c r="O51" s="533"/>
      <c r="P51" s="355"/>
      <c r="Q51" s="355"/>
      <c r="R51" s="355"/>
      <c r="S51" s="355"/>
    </row>
    <row r="52" spans="1:19" s="105" customFormat="1" ht="88" x14ac:dyDescent="0.15">
      <c r="A52" s="540">
        <f>+A51+0.1</f>
        <v>2.1</v>
      </c>
      <c r="B52" s="561" t="s">
        <v>1198</v>
      </c>
      <c r="C52" s="542">
        <v>1</v>
      </c>
      <c r="D52" s="562" t="s">
        <v>5</v>
      </c>
      <c r="E52" s="544">
        <v>50000</v>
      </c>
      <c r="F52" s="542">
        <v>80000</v>
      </c>
      <c r="G52" s="563">
        <f t="shared" ref="G52:G55" si="7">E52+F52</f>
        <v>130000</v>
      </c>
      <c r="H52" s="563">
        <v>12</v>
      </c>
      <c r="I52" s="546">
        <v>8</v>
      </c>
      <c r="J52" s="563">
        <f t="shared" ref="J52:J55" si="8">H52+I52</f>
        <v>20</v>
      </c>
      <c r="K52" s="563">
        <f t="shared" ref="K52:K55" si="9">J52%*G52</f>
        <v>26000</v>
      </c>
      <c r="L52" s="563">
        <f t="shared" ref="L52:L55" si="10">5%*((G52)+(K52))</f>
        <v>7800</v>
      </c>
      <c r="M52" s="563">
        <f t="shared" ref="M52:M55" si="11">K52+L52</f>
        <v>33800</v>
      </c>
      <c r="N52" s="564">
        <f t="shared" ref="N52:N55" si="12">(+M52+G52)*C52</f>
        <v>163800</v>
      </c>
      <c r="O52" s="563">
        <f t="shared" ref="O52:O55" si="13">N52/C52</f>
        <v>163800</v>
      </c>
      <c r="P52" s="355"/>
      <c r="Q52" s="355"/>
      <c r="R52" s="355"/>
      <c r="S52" s="355"/>
    </row>
    <row r="53" spans="1:19" s="105" customFormat="1" ht="21" x14ac:dyDescent="0.15">
      <c r="A53" s="540">
        <f>+A52+0.1</f>
        <v>2.2000000000000002</v>
      </c>
      <c r="B53" s="565" t="s">
        <v>988</v>
      </c>
      <c r="C53" s="542">
        <v>1</v>
      </c>
      <c r="D53" s="562" t="s">
        <v>5</v>
      </c>
      <c r="E53" s="545">
        <v>0</v>
      </c>
      <c r="F53" s="542">
        <v>50000</v>
      </c>
      <c r="G53" s="563">
        <f t="shared" si="7"/>
        <v>50000</v>
      </c>
      <c r="H53" s="563">
        <v>12</v>
      </c>
      <c r="I53" s="546">
        <v>8</v>
      </c>
      <c r="J53" s="563">
        <f t="shared" si="8"/>
        <v>20</v>
      </c>
      <c r="K53" s="563">
        <f t="shared" si="9"/>
        <v>10000</v>
      </c>
      <c r="L53" s="563">
        <f t="shared" si="10"/>
        <v>3000</v>
      </c>
      <c r="M53" s="563">
        <f t="shared" si="11"/>
        <v>13000</v>
      </c>
      <c r="N53" s="564">
        <f t="shared" si="12"/>
        <v>63000</v>
      </c>
      <c r="O53" s="563">
        <f t="shared" si="13"/>
        <v>63000</v>
      </c>
      <c r="P53" s="355"/>
      <c r="Q53" s="355"/>
      <c r="R53" s="355"/>
      <c r="S53" s="355"/>
    </row>
    <row r="54" spans="1:19" s="105" customFormat="1" ht="36.75" customHeight="1" x14ac:dyDescent="0.15">
      <c r="A54" s="540">
        <f>+A53+0.1</f>
        <v>2.3000000000000003</v>
      </c>
      <c r="B54" s="566" t="s">
        <v>1490</v>
      </c>
      <c r="C54" s="542">
        <v>1</v>
      </c>
      <c r="D54" s="562" t="s">
        <v>5</v>
      </c>
      <c r="E54" s="544">
        <v>40000</v>
      </c>
      <c r="F54" s="542">
        <v>30000</v>
      </c>
      <c r="G54" s="563">
        <f t="shared" ref="G54" si="14">E54+F54</f>
        <v>70000</v>
      </c>
      <c r="H54" s="563">
        <v>12</v>
      </c>
      <c r="I54" s="546">
        <v>8</v>
      </c>
      <c r="J54" s="563">
        <f t="shared" ref="J54" si="15">H54+I54</f>
        <v>20</v>
      </c>
      <c r="K54" s="563">
        <f t="shared" ref="K54" si="16">J54%*G54</f>
        <v>14000</v>
      </c>
      <c r="L54" s="563">
        <f t="shared" ref="L54" si="17">5%*((G54)+(K54))</f>
        <v>4200</v>
      </c>
      <c r="M54" s="563">
        <f t="shared" ref="M54" si="18">K54+L54</f>
        <v>18200</v>
      </c>
      <c r="N54" s="564">
        <f t="shared" ref="N54" si="19">(+M54+G54)*C54</f>
        <v>88200</v>
      </c>
      <c r="O54" s="563">
        <f t="shared" ref="O54" si="20">N54/C54</f>
        <v>88200</v>
      </c>
      <c r="P54" s="355"/>
      <c r="Q54" s="355"/>
      <c r="R54" s="355"/>
      <c r="S54" s="355"/>
    </row>
    <row r="55" spans="1:19" s="105" customFormat="1" ht="22" x14ac:dyDescent="0.15">
      <c r="A55" s="540">
        <f>+A54+0.1</f>
        <v>2.4000000000000004</v>
      </c>
      <c r="B55" s="566" t="s">
        <v>1489</v>
      </c>
      <c r="C55" s="542">
        <v>1</v>
      </c>
      <c r="D55" s="562" t="s">
        <v>5</v>
      </c>
      <c r="E55" s="544">
        <v>150000</v>
      </c>
      <c r="F55" s="542">
        <v>50000</v>
      </c>
      <c r="G55" s="563">
        <f t="shared" si="7"/>
        <v>200000</v>
      </c>
      <c r="H55" s="563">
        <v>12</v>
      </c>
      <c r="I55" s="546">
        <v>8</v>
      </c>
      <c r="J55" s="563">
        <f t="shared" si="8"/>
        <v>20</v>
      </c>
      <c r="K55" s="563">
        <f t="shared" si="9"/>
        <v>40000</v>
      </c>
      <c r="L55" s="563">
        <f t="shared" si="10"/>
        <v>12000</v>
      </c>
      <c r="M55" s="563">
        <f t="shared" si="11"/>
        <v>52000</v>
      </c>
      <c r="N55" s="564">
        <f t="shared" si="12"/>
        <v>252000</v>
      </c>
      <c r="O55" s="563">
        <f t="shared" si="13"/>
        <v>252000</v>
      </c>
      <c r="Q55" s="355"/>
      <c r="R55" s="355"/>
      <c r="S55" s="355"/>
    </row>
    <row r="56" spans="1:19" s="105" customFormat="1" ht="21" x14ac:dyDescent="0.15">
      <c r="A56" s="549"/>
      <c r="B56" s="566"/>
      <c r="C56" s="542"/>
      <c r="D56" s="543"/>
      <c r="E56" s="544"/>
      <c r="F56" s="544"/>
      <c r="G56" s="551"/>
      <c r="H56" s="552"/>
      <c r="I56" s="552"/>
      <c r="J56" s="552"/>
      <c r="K56" s="552"/>
      <c r="L56" s="552"/>
      <c r="M56" s="554" t="s">
        <v>343</v>
      </c>
      <c r="N56" s="555">
        <f>SUM(N52:N55)</f>
        <v>567000</v>
      </c>
      <c r="O56" s="556"/>
      <c r="P56" s="357">
        <f>+N56</f>
        <v>567000</v>
      </c>
      <c r="Q56" s="355"/>
      <c r="R56" s="355"/>
      <c r="S56" s="355"/>
    </row>
    <row r="57" spans="1:19" s="105" customFormat="1" ht="22" x14ac:dyDescent="0.15">
      <c r="A57" s="531">
        <v>3</v>
      </c>
      <c r="B57" s="557" t="s">
        <v>411</v>
      </c>
      <c r="C57" s="558"/>
      <c r="D57" s="534"/>
      <c r="E57" s="533"/>
      <c r="F57" s="533"/>
      <c r="G57" s="559"/>
      <c r="H57" s="537"/>
      <c r="I57" s="537"/>
      <c r="J57" s="537"/>
      <c r="K57" s="537"/>
      <c r="L57" s="537"/>
      <c r="M57" s="537"/>
      <c r="N57" s="560"/>
      <c r="O57" s="533"/>
      <c r="P57" s="355"/>
      <c r="Q57" s="355"/>
      <c r="R57" s="355"/>
      <c r="S57" s="355"/>
    </row>
    <row r="58" spans="1:19" s="105" customFormat="1" ht="22" x14ac:dyDescent="0.15">
      <c r="A58" s="567">
        <f>+A57+0.1</f>
        <v>3.1</v>
      </c>
      <c r="B58" s="568" t="s">
        <v>922</v>
      </c>
      <c r="C58" s="569"/>
      <c r="D58" s="524"/>
      <c r="E58" s="569"/>
      <c r="F58" s="569"/>
      <c r="G58" s="569"/>
      <c r="H58" s="569"/>
      <c r="I58" s="569"/>
      <c r="J58" s="569"/>
      <c r="K58" s="569"/>
      <c r="L58" s="569"/>
      <c r="M58" s="546"/>
      <c r="N58" s="546"/>
      <c r="O58" s="569"/>
      <c r="P58" s="357"/>
      <c r="Q58" s="355"/>
      <c r="R58" s="355"/>
      <c r="S58" s="355"/>
    </row>
    <row r="59" spans="1:19" s="105" customFormat="1" ht="22" x14ac:dyDescent="0.15">
      <c r="A59" s="570" t="s">
        <v>661</v>
      </c>
      <c r="B59" s="571" t="s">
        <v>417</v>
      </c>
      <c r="C59" s="545">
        <f>1.5*19</f>
        <v>28.5</v>
      </c>
      <c r="D59" s="524" t="s">
        <v>637</v>
      </c>
      <c r="E59" s="572">
        <v>0</v>
      </c>
      <c r="F59" s="545">
        <v>200</v>
      </c>
      <c r="G59" s="545">
        <f>F59</f>
        <v>200</v>
      </c>
      <c r="H59" s="563">
        <v>12</v>
      </c>
      <c r="I59" s="546">
        <v>8</v>
      </c>
      <c r="J59" s="545">
        <f t="shared" ref="J59:J60" si="21">H59+I59</f>
        <v>20</v>
      </c>
      <c r="K59" s="545">
        <f t="shared" ref="K59:K60" si="22">J59%*G59</f>
        <v>40</v>
      </c>
      <c r="L59" s="545">
        <f t="shared" ref="L59:L60" si="23">5%*((G59)+(K59))</f>
        <v>12</v>
      </c>
      <c r="M59" s="545">
        <f t="shared" ref="M59:M60" si="24">K59+L59</f>
        <v>52</v>
      </c>
      <c r="N59" s="547">
        <f t="shared" ref="N59:N60" si="25">(+M59+G59)*C59</f>
        <v>7182</v>
      </c>
      <c r="O59" s="545">
        <f t="shared" ref="O59:O60" si="26">N59/C59</f>
        <v>252</v>
      </c>
      <c r="P59" s="357"/>
      <c r="Q59" s="355"/>
      <c r="R59" s="355"/>
      <c r="S59" s="355"/>
    </row>
    <row r="60" spans="1:19" s="105" customFormat="1" ht="22" x14ac:dyDescent="0.15">
      <c r="A60" s="570" t="s">
        <v>662</v>
      </c>
      <c r="B60" s="571" t="s">
        <v>412</v>
      </c>
      <c r="C60" s="545">
        <f>5.7</f>
        <v>5.7</v>
      </c>
      <c r="D60" s="524" t="s">
        <v>637</v>
      </c>
      <c r="E60" s="572">
        <v>4500</v>
      </c>
      <c r="F60" s="545">
        <v>1000</v>
      </c>
      <c r="G60" s="545">
        <f t="shared" ref="G60" si="27">E60+F60</f>
        <v>5500</v>
      </c>
      <c r="H60" s="563">
        <v>12</v>
      </c>
      <c r="I60" s="546">
        <v>8</v>
      </c>
      <c r="J60" s="545">
        <f t="shared" si="21"/>
        <v>20</v>
      </c>
      <c r="K60" s="545">
        <f t="shared" si="22"/>
        <v>1100</v>
      </c>
      <c r="L60" s="545">
        <f t="shared" si="23"/>
        <v>330</v>
      </c>
      <c r="M60" s="545">
        <f t="shared" si="24"/>
        <v>1430</v>
      </c>
      <c r="N60" s="547">
        <f t="shared" si="25"/>
        <v>39501</v>
      </c>
      <c r="O60" s="545">
        <f t="shared" si="26"/>
        <v>6930</v>
      </c>
      <c r="P60" s="357"/>
      <c r="Q60" s="355"/>
      <c r="R60" s="355"/>
      <c r="S60" s="355"/>
    </row>
    <row r="61" spans="1:19" s="105" customFormat="1" ht="22" x14ac:dyDescent="0.15">
      <c r="A61" s="570" t="s">
        <v>663</v>
      </c>
      <c r="B61" s="571" t="s">
        <v>413</v>
      </c>
      <c r="C61" s="545"/>
      <c r="D61" s="524"/>
      <c r="E61" s="572"/>
      <c r="F61" s="545"/>
      <c r="G61" s="545"/>
      <c r="H61" s="563">
        <v>12</v>
      </c>
      <c r="I61" s="546">
        <v>8</v>
      </c>
      <c r="J61" s="545"/>
      <c r="K61" s="545"/>
      <c r="L61" s="545"/>
      <c r="M61" s="545"/>
      <c r="N61" s="545"/>
      <c r="O61" s="545"/>
      <c r="P61" s="357"/>
      <c r="Q61" s="355"/>
      <c r="R61" s="355"/>
      <c r="S61" s="355"/>
    </row>
    <row r="62" spans="1:19" s="105" customFormat="1" ht="21" x14ac:dyDescent="0.15">
      <c r="A62" s="573" t="s">
        <v>664</v>
      </c>
      <c r="B62" s="574" t="s">
        <v>928</v>
      </c>
      <c r="C62" s="572">
        <v>168.69</v>
      </c>
      <c r="D62" s="575" t="s">
        <v>298</v>
      </c>
      <c r="E62" s="572">
        <v>80</v>
      </c>
      <c r="F62" s="569">
        <v>10</v>
      </c>
      <c r="G62" s="545">
        <f t="shared" ref="G62:G66" si="28">E62+F62</f>
        <v>90</v>
      </c>
      <c r="H62" s="563">
        <v>12</v>
      </c>
      <c r="I62" s="546">
        <v>8</v>
      </c>
      <c r="J62" s="545">
        <f t="shared" ref="J62:J66" si="29">H62+I62</f>
        <v>20</v>
      </c>
      <c r="K62" s="545">
        <f t="shared" ref="K62:K66" si="30">J62%*G62</f>
        <v>18</v>
      </c>
      <c r="L62" s="545">
        <f t="shared" ref="L62:L66" si="31">5%*((G62)+(K62))</f>
        <v>5.4</v>
      </c>
      <c r="M62" s="545">
        <f t="shared" ref="M62:M66" si="32">K62+L62</f>
        <v>23.4</v>
      </c>
      <c r="N62" s="547">
        <f t="shared" ref="N62:N66" si="33">(+M62+G62)*C62</f>
        <v>19129.446</v>
      </c>
      <c r="O62" s="545">
        <f t="shared" ref="O62:O66" si="34">N62/C62</f>
        <v>113.4</v>
      </c>
      <c r="P62" s="357"/>
      <c r="Q62" s="355"/>
      <c r="R62" s="355"/>
      <c r="S62" s="355"/>
    </row>
    <row r="63" spans="1:19" s="105" customFormat="1" ht="22" x14ac:dyDescent="0.15">
      <c r="A63" s="573" t="s">
        <v>665</v>
      </c>
      <c r="B63" s="576" t="s">
        <v>350</v>
      </c>
      <c r="C63" s="572">
        <f>+SUM(C62:C62)*2%</f>
        <v>3.3738000000000001</v>
      </c>
      <c r="D63" s="575" t="s">
        <v>298</v>
      </c>
      <c r="E63" s="572">
        <v>100</v>
      </c>
      <c r="F63" s="569">
        <v>10</v>
      </c>
      <c r="G63" s="545">
        <f t="shared" si="28"/>
        <v>110</v>
      </c>
      <c r="H63" s="563">
        <v>12</v>
      </c>
      <c r="I63" s="546">
        <v>8</v>
      </c>
      <c r="J63" s="545">
        <f t="shared" si="29"/>
        <v>20</v>
      </c>
      <c r="K63" s="545">
        <f t="shared" si="30"/>
        <v>22</v>
      </c>
      <c r="L63" s="545">
        <f t="shared" si="31"/>
        <v>6.6000000000000005</v>
      </c>
      <c r="M63" s="545">
        <f t="shared" si="32"/>
        <v>28.6</v>
      </c>
      <c r="N63" s="547">
        <f t="shared" si="33"/>
        <v>467.60867999999999</v>
      </c>
      <c r="O63" s="545">
        <f t="shared" si="34"/>
        <v>138.6</v>
      </c>
      <c r="P63" s="357"/>
      <c r="Q63" s="355"/>
      <c r="R63" s="355"/>
      <c r="S63" s="355"/>
    </row>
    <row r="64" spans="1:19" s="105" customFormat="1" ht="22" x14ac:dyDescent="0.15">
      <c r="A64" s="570" t="s">
        <v>666</v>
      </c>
      <c r="B64" s="577" t="s">
        <v>415</v>
      </c>
      <c r="C64" s="572">
        <f>0.1*1*1*13</f>
        <v>1.3</v>
      </c>
      <c r="D64" s="575" t="s">
        <v>637</v>
      </c>
      <c r="E64" s="572">
        <v>900</v>
      </c>
      <c r="F64" s="545">
        <v>100</v>
      </c>
      <c r="G64" s="545">
        <f t="shared" si="28"/>
        <v>1000</v>
      </c>
      <c r="H64" s="563">
        <v>12</v>
      </c>
      <c r="I64" s="546">
        <v>8</v>
      </c>
      <c r="J64" s="545">
        <f t="shared" si="29"/>
        <v>20</v>
      </c>
      <c r="K64" s="545">
        <f t="shared" si="30"/>
        <v>200</v>
      </c>
      <c r="L64" s="545">
        <f t="shared" si="31"/>
        <v>60</v>
      </c>
      <c r="M64" s="545">
        <f t="shared" si="32"/>
        <v>260</v>
      </c>
      <c r="N64" s="547">
        <f t="shared" si="33"/>
        <v>1638</v>
      </c>
      <c r="O64" s="545">
        <f t="shared" si="34"/>
        <v>1260</v>
      </c>
      <c r="P64" s="357"/>
      <c r="Q64" s="355"/>
      <c r="R64" s="355"/>
      <c r="S64" s="355"/>
    </row>
    <row r="65" spans="1:19" s="105" customFormat="1" ht="22" x14ac:dyDescent="0.15">
      <c r="A65" s="570" t="s">
        <v>667</v>
      </c>
      <c r="B65" s="577" t="s">
        <v>937</v>
      </c>
      <c r="C65" s="572">
        <f>C59-C60</f>
        <v>22.8</v>
      </c>
      <c r="D65" s="575" t="s">
        <v>892</v>
      </c>
      <c r="E65" s="578">
        <v>0</v>
      </c>
      <c r="F65" s="578">
        <v>150</v>
      </c>
      <c r="G65" s="545">
        <f t="shared" si="28"/>
        <v>150</v>
      </c>
      <c r="H65" s="563">
        <v>12</v>
      </c>
      <c r="I65" s="546">
        <v>8</v>
      </c>
      <c r="J65" s="545">
        <f t="shared" si="29"/>
        <v>20</v>
      </c>
      <c r="K65" s="545">
        <f t="shared" si="30"/>
        <v>30</v>
      </c>
      <c r="L65" s="545">
        <f t="shared" si="31"/>
        <v>9</v>
      </c>
      <c r="M65" s="545">
        <f t="shared" si="32"/>
        <v>39</v>
      </c>
      <c r="N65" s="547">
        <f t="shared" si="33"/>
        <v>4309.2</v>
      </c>
      <c r="O65" s="545">
        <f t="shared" si="34"/>
        <v>189</v>
      </c>
      <c r="P65" s="357"/>
      <c r="Q65" s="355"/>
      <c r="R65" s="355"/>
      <c r="S65" s="355"/>
    </row>
    <row r="66" spans="1:19" s="105" customFormat="1" ht="22" x14ac:dyDescent="0.15">
      <c r="A66" s="570" t="s">
        <v>669</v>
      </c>
      <c r="B66" s="577" t="s">
        <v>349</v>
      </c>
      <c r="C66" s="572">
        <v>1</v>
      </c>
      <c r="D66" s="575" t="s">
        <v>5</v>
      </c>
      <c r="E66" s="579">
        <v>1000</v>
      </c>
      <c r="F66" s="580">
        <f>+E66*0.25</f>
        <v>250</v>
      </c>
      <c r="G66" s="545">
        <f t="shared" si="28"/>
        <v>1250</v>
      </c>
      <c r="H66" s="563">
        <v>12</v>
      </c>
      <c r="I66" s="546">
        <v>8</v>
      </c>
      <c r="J66" s="545">
        <f t="shared" si="29"/>
        <v>20</v>
      </c>
      <c r="K66" s="545">
        <f t="shared" si="30"/>
        <v>250</v>
      </c>
      <c r="L66" s="545">
        <f t="shared" si="31"/>
        <v>75</v>
      </c>
      <c r="M66" s="545">
        <f t="shared" si="32"/>
        <v>325</v>
      </c>
      <c r="N66" s="547">
        <f t="shared" si="33"/>
        <v>1575</v>
      </c>
      <c r="O66" s="545">
        <f t="shared" si="34"/>
        <v>1575</v>
      </c>
      <c r="P66" s="357"/>
      <c r="Q66" s="355"/>
      <c r="R66" s="355"/>
      <c r="S66" s="355"/>
    </row>
    <row r="67" spans="1:19" s="105" customFormat="1" ht="21" x14ac:dyDescent="0.15">
      <c r="A67" s="581"/>
      <c r="B67" s="582"/>
      <c r="C67" s="569"/>
      <c r="D67" s="524"/>
      <c r="E67" s="569"/>
      <c r="F67" s="569"/>
      <c r="G67" s="569"/>
      <c r="H67" s="569"/>
      <c r="I67" s="569"/>
      <c r="J67" s="569"/>
      <c r="K67" s="569"/>
      <c r="L67" s="569"/>
      <c r="M67" s="554" t="s">
        <v>343</v>
      </c>
      <c r="N67" s="555">
        <f>SUM(N59:N66)</f>
        <v>73802.254679999998</v>
      </c>
      <c r="O67" s="569"/>
      <c r="P67" s="357">
        <f>+N67</f>
        <v>73802.254679999998</v>
      </c>
      <c r="Q67" s="355"/>
      <c r="R67" s="355"/>
      <c r="S67" s="355"/>
    </row>
    <row r="68" spans="1:19" s="105" customFormat="1" ht="22" x14ac:dyDescent="0.15">
      <c r="A68" s="567">
        <f>+A58+0.1</f>
        <v>3.2</v>
      </c>
      <c r="B68" s="583" t="s">
        <v>923</v>
      </c>
      <c r="C68" s="569"/>
      <c r="D68" s="524"/>
      <c r="E68" s="569"/>
      <c r="F68" s="569"/>
      <c r="G68" s="569"/>
      <c r="H68" s="569"/>
      <c r="I68" s="569"/>
      <c r="J68" s="569"/>
      <c r="K68" s="569"/>
      <c r="L68" s="569"/>
      <c r="M68" s="546"/>
      <c r="N68" s="546"/>
      <c r="O68" s="569"/>
      <c r="P68" s="355"/>
      <c r="Q68" s="355"/>
      <c r="R68" s="355"/>
      <c r="S68" s="355"/>
    </row>
    <row r="69" spans="1:19" s="105" customFormat="1" ht="22" x14ac:dyDescent="0.15">
      <c r="A69" s="570" t="s">
        <v>560</v>
      </c>
      <c r="B69" s="571" t="s">
        <v>417</v>
      </c>
      <c r="C69" s="545">
        <v>12.01</v>
      </c>
      <c r="D69" s="524" t="s">
        <v>637</v>
      </c>
      <c r="E69" s="572">
        <v>0</v>
      </c>
      <c r="F69" s="545">
        <v>200</v>
      </c>
      <c r="G69" s="545">
        <f>F69</f>
        <v>200</v>
      </c>
      <c r="H69" s="563">
        <v>12</v>
      </c>
      <c r="I69" s="546">
        <v>8</v>
      </c>
      <c r="J69" s="545">
        <f t="shared" ref="J69:J70" si="35">H69+I69</f>
        <v>20</v>
      </c>
      <c r="K69" s="545">
        <f t="shared" ref="K69:K70" si="36">J69%*G69</f>
        <v>40</v>
      </c>
      <c r="L69" s="545">
        <f t="shared" ref="L69:L70" si="37">5%*((G69)+(K69))</f>
        <v>12</v>
      </c>
      <c r="M69" s="545">
        <f t="shared" ref="M69:M70" si="38">K69+L69</f>
        <v>52</v>
      </c>
      <c r="N69" s="547">
        <f t="shared" ref="N69:N70" si="39">(+M69+G69)*C69</f>
        <v>3026.52</v>
      </c>
      <c r="O69" s="545">
        <f t="shared" ref="O69:O70" si="40">N69/C69</f>
        <v>252</v>
      </c>
      <c r="P69" s="355"/>
      <c r="Q69" s="355"/>
      <c r="R69" s="355"/>
      <c r="S69" s="355"/>
    </row>
    <row r="70" spans="1:19" s="105" customFormat="1" ht="22" x14ac:dyDescent="0.15">
      <c r="A70" s="570" t="s">
        <v>561</v>
      </c>
      <c r="B70" s="571" t="s">
        <v>412</v>
      </c>
      <c r="C70" s="545">
        <f>4*1.1</f>
        <v>4.4000000000000004</v>
      </c>
      <c r="D70" s="524" t="s">
        <v>637</v>
      </c>
      <c r="E70" s="572">
        <f>E60</f>
        <v>4500</v>
      </c>
      <c r="F70" s="545">
        <f>F60</f>
        <v>1000</v>
      </c>
      <c r="G70" s="545">
        <f t="shared" ref="G70" si="41">E70+F70</f>
        <v>5500</v>
      </c>
      <c r="H70" s="563">
        <v>12</v>
      </c>
      <c r="I70" s="546">
        <v>8</v>
      </c>
      <c r="J70" s="545">
        <f t="shared" si="35"/>
        <v>20</v>
      </c>
      <c r="K70" s="545">
        <f t="shared" si="36"/>
        <v>1100</v>
      </c>
      <c r="L70" s="545">
        <f t="shared" si="37"/>
        <v>330</v>
      </c>
      <c r="M70" s="545">
        <f t="shared" si="38"/>
        <v>1430</v>
      </c>
      <c r="N70" s="547">
        <f t="shared" si="39"/>
        <v>30492.000000000004</v>
      </c>
      <c r="O70" s="545">
        <f t="shared" si="40"/>
        <v>6930</v>
      </c>
      <c r="P70" s="357"/>
      <c r="Q70" s="355"/>
      <c r="R70" s="355"/>
      <c r="S70" s="355"/>
    </row>
    <row r="71" spans="1:19" s="105" customFormat="1" ht="22" x14ac:dyDescent="0.15">
      <c r="A71" s="570" t="s">
        <v>562</v>
      </c>
      <c r="B71" s="571" t="s">
        <v>413</v>
      </c>
      <c r="C71" s="545"/>
      <c r="D71" s="524"/>
      <c r="E71" s="572"/>
      <c r="F71" s="545"/>
      <c r="G71" s="545"/>
      <c r="H71" s="545"/>
      <c r="I71" s="545"/>
      <c r="J71" s="545"/>
      <c r="K71" s="545"/>
      <c r="L71" s="545"/>
      <c r="M71" s="545"/>
      <c r="N71" s="545"/>
      <c r="O71" s="545"/>
      <c r="P71" s="355"/>
      <c r="Q71" s="355"/>
      <c r="R71" s="355"/>
      <c r="S71" s="355"/>
    </row>
    <row r="72" spans="1:19" s="105" customFormat="1" ht="21" x14ac:dyDescent="0.15">
      <c r="A72" s="573" t="s">
        <v>938</v>
      </c>
      <c r="B72" s="574" t="s">
        <v>928</v>
      </c>
      <c r="C72" s="545">
        <f>177.6*1.1</f>
        <v>195.36</v>
      </c>
      <c r="D72" s="575" t="s">
        <v>298</v>
      </c>
      <c r="E72" s="572">
        <f>E62</f>
        <v>80</v>
      </c>
      <c r="F72" s="569">
        <f>F62</f>
        <v>10</v>
      </c>
      <c r="G72" s="545">
        <f t="shared" ref="G72:G77" si="42">E72+F72</f>
        <v>90</v>
      </c>
      <c r="H72" s="563">
        <v>12</v>
      </c>
      <c r="I72" s="546">
        <v>8</v>
      </c>
      <c r="J72" s="545">
        <f t="shared" ref="J72:J77" si="43">H72+I72</f>
        <v>20</v>
      </c>
      <c r="K72" s="545">
        <f t="shared" ref="K72:K77" si="44">J72%*G72</f>
        <v>18</v>
      </c>
      <c r="L72" s="545">
        <f t="shared" ref="L72:L77" si="45">5%*((G72)+(K72))</f>
        <v>5.4</v>
      </c>
      <c r="M72" s="545">
        <f t="shared" ref="M72:M77" si="46">K72+L72</f>
        <v>23.4</v>
      </c>
      <c r="N72" s="547">
        <f t="shared" ref="N72:N77" si="47">(+M72+G72)*C72</f>
        <v>22153.824000000004</v>
      </c>
      <c r="O72" s="545">
        <f t="shared" ref="O72:O77" si="48">N72/C72</f>
        <v>113.40000000000002</v>
      </c>
      <c r="P72" s="355"/>
      <c r="Q72" s="355"/>
      <c r="R72" s="355"/>
      <c r="S72" s="355"/>
    </row>
    <row r="73" spans="1:19" s="105" customFormat="1" ht="24" customHeight="1" x14ac:dyDescent="0.15">
      <c r="A73" s="573" t="s">
        <v>939</v>
      </c>
      <c r="B73" s="574" t="s">
        <v>929</v>
      </c>
      <c r="C73" s="545">
        <f>68.52*1.1</f>
        <v>75.372</v>
      </c>
      <c r="D73" s="575" t="s">
        <v>298</v>
      </c>
      <c r="E73" s="572">
        <f>E72</f>
        <v>80</v>
      </c>
      <c r="F73" s="569">
        <f>F72</f>
        <v>10</v>
      </c>
      <c r="G73" s="545">
        <f t="shared" si="42"/>
        <v>90</v>
      </c>
      <c r="H73" s="563">
        <v>12</v>
      </c>
      <c r="I73" s="546">
        <v>8</v>
      </c>
      <c r="J73" s="545">
        <f t="shared" si="43"/>
        <v>20</v>
      </c>
      <c r="K73" s="545">
        <f t="shared" si="44"/>
        <v>18</v>
      </c>
      <c r="L73" s="545">
        <f t="shared" si="45"/>
        <v>5.4</v>
      </c>
      <c r="M73" s="545">
        <f t="shared" si="46"/>
        <v>23.4</v>
      </c>
      <c r="N73" s="547">
        <f t="shared" si="47"/>
        <v>8547.1848000000009</v>
      </c>
      <c r="O73" s="545">
        <f t="shared" si="48"/>
        <v>113.4</v>
      </c>
      <c r="P73" s="357"/>
      <c r="Q73" s="355"/>
      <c r="R73" s="355"/>
      <c r="S73" s="355"/>
    </row>
    <row r="74" spans="1:19" s="105" customFormat="1" ht="22" x14ac:dyDescent="0.15">
      <c r="A74" s="573" t="s">
        <v>940</v>
      </c>
      <c r="B74" s="576" t="s">
        <v>350</v>
      </c>
      <c r="C74" s="545">
        <f>2%*(C72+C73)</f>
        <v>5.4146400000000003</v>
      </c>
      <c r="D74" s="575" t="s">
        <v>298</v>
      </c>
      <c r="E74" s="572">
        <v>100</v>
      </c>
      <c r="F74" s="569">
        <v>8</v>
      </c>
      <c r="G74" s="545">
        <f t="shared" si="42"/>
        <v>108</v>
      </c>
      <c r="H74" s="563">
        <v>12</v>
      </c>
      <c r="I74" s="546">
        <v>8</v>
      </c>
      <c r="J74" s="545">
        <f t="shared" si="43"/>
        <v>20</v>
      </c>
      <c r="K74" s="545">
        <f t="shared" si="44"/>
        <v>21.6</v>
      </c>
      <c r="L74" s="545">
        <f t="shared" si="45"/>
        <v>6.48</v>
      </c>
      <c r="M74" s="545">
        <f t="shared" si="46"/>
        <v>28.080000000000002</v>
      </c>
      <c r="N74" s="547">
        <f t="shared" si="47"/>
        <v>736.82421120000015</v>
      </c>
      <c r="O74" s="545">
        <f t="shared" si="48"/>
        <v>136.08000000000001</v>
      </c>
      <c r="P74" s="355"/>
      <c r="Q74" s="355"/>
      <c r="R74" s="355"/>
      <c r="S74" s="355"/>
    </row>
    <row r="75" spans="1:19" s="105" customFormat="1" ht="22" x14ac:dyDescent="0.15">
      <c r="A75" s="570" t="s">
        <v>941</v>
      </c>
      <c r="B75" s="577" t="s">
        <v>415</v>
      </c>
      <c r="C75" s="545">
        <v>2.0099999999999998</v>
      </c>
      <c r="D75" s="575" t="s">
        <v>637</v>
      </c>
      <c r="E75" s="572">
        <v>900</v>
      </c>
      <c r="F75" s="545">
        <v>100</v>
      </c>
      <c r="G75" s="545">
        <f t="shared" si="42"/>
        <v>1000</v>
      </c>
      <c r="H75" s="563">
        <v>12</v>
      </c>
      <c r="I75" s="546">
        <v>8</v>
      </c>
      <c r="J75" s="545">
        <f t="shared" si="43"/>
        <v>20</v>
      </c>
      <c r="K75" s="545">
        <f t="shared" si="44"/>
        <v>200</v>
      </c>
      <c r="L75" s="545">
        <f t="shared" si="45"/>
        <v>60</v>
      </c>
      <c r="M75" s="545">
        <f t="shared" si="46"/>
        <v>260</v>
      </c>
      <c r="N75" s="547">
        <f t="shared" si="47"/>
        <v>2532.6</v>
      </c>
      <c r="O75" s="545">
        <f t="shared" si="48"/>
        <v>1260</v>
      </c>
      <c r="P75" s="355"/>
      <c r="Q75" s="355"/>
      <c r="R75" s="355"/>
      <c r="S75" s="355"/>
    </row>
    <row r="76" spans="1:19" s="105" customFormat="1" ht="22" x14ac:dyDescent="0.15">
      <c r="A76" s="570" t="s">
        <v>942</v>
      </c>
      <c r="B76" s="577" t="s">
        <v>937</v>
      </c>
      <c r="C76" s="545">
        <f>C69-C70</f>
        <v>7.6099999999999994</v>
      </c>
      <c r="D76" s="575" t="s">
        <v>892</v>
      </c>
      <c r="E76" s="578">
        <v>0</v>
      </c>
      <c r="F76" s="578">
        <v>150</v>
      </c>
      <c r="G76" s="545">
        <f t="shared" si="42"/>
        <v>150</v>
      </c>
      <c r="H76" s="563">
        <v>12</v>
      </c>
      <c r="I76" s="546">
        <v>8</v>
      </c>
      <c r="J76" s="545">
        <f t="shared" si="43"/>
        <v>20</v>
      </c>
      <c r="K76" s="545">
        <f t="shared" si="44"/>
        <v>30</v>
      </c>
      <c r="L76" s="545">
        <f t="shared" si="45"/>
        <v>9</v>
      </c>
      <c r="M76" s="545">
        <f t="shared" si="46"/>
        <v>39</v>
      </c>
      <c r="N76" s="547">
        <f t="shared" si="47"/>
        <v>1438.29</v>
      </c>
      <c r="O76" s="545">
        <f t="shared" si="48"/>
        <v>189</v>
      </c>
      <c r="P76" s="355"/>
      <c r="Q76" s="355"/>
      <c r="R76" s="355"/>
      <c r="S76" s="355"/>
    </row>
    <row r="77" spans="1:19" s="105" customFormat="1" ht="22" x14ac:dyDescent="0.15">
      <c r="A77" s="570" t="s">
        <v>943</v>
      </c>
      <c r="B77" s="577" t="s">
        <v>349</v>
      </c>
      <c r="C77" s="545">
        <v>1</v>
      </c>
      <c r="D77" s="575" t="s">
        <v>5</v>
      </c>
      <c r="E77" s="579">
        <v>1000</v>
      </c>
      <c r="F77" s="580">
        <f>+E77*0.25</f>
        <v>250</v>
      </c>
      <c r="G77" s="545">
        <f t="shared" si="42"/>
        <v>1250</v>
      </c>
      <c r="H77" s="563">
        <v>12</v>
      </c>
      <c r="I77" s="546">
        <v>8</v>
      </c>
      <c r="J77" s="545">
        <f t="shared" si="43"/>
        <v>20</v>
      </c>
      <c r="K77" s="545">
        <f t="shared" si="44"/>
        <v>250</v>
      </c>
      <c r="L77" s="545">
        <f t="shared" si="45"/>
        <v>75</v>
      </c>
      <c r="M77" s="545">
        <f t="shared" si="46"/>
        <v>325</v>
      </c>
      <c r="N77" s="547">
        <f t="shared" si="47"/>
        <v>1575</v>
      </c>
      <c r="O77" s="545">
        <f t="shared" si="48"/>
        <v>1575</v>
      </c>
      <c r="P77" s="357"/>
      <c r="Q77" s="355"/>
      <c r="R77" s="355"/>
      <c r="S77" s="355"/>
    </row>
    <row r="78" spans="1:19" s="142" customFormat="1" ht="21" x14ac:dyDescent="0.25">
      <c r="A78" s="581"/>
      <c r="B78" s="584"/>
      <c r="C78" s="569"/>
      <c r="D78" s="524"/>
      <c r="E78" s="569"/>
      <c r="F78" s="569"/>
      <c r="G78" s="569"/>
      <c r="H78" s="569"/>
      <c r="I78" s="569"/>
      <c r="J78" s="569"/>
      <c r="K78" s="569"/>
      <c r="L78" s="569"/>
      <c r="M78" s="554" t="s">
        <v>343</v>
      </c>
      <c r="N78" s="555">
        <f>SUM(N69:N77)</f>
        <v>70502.243011200015</v>
      </c>
      <c r="O78" s="553"/>
      <c r="P78" s="428">
        <f>N78</f>
        <v>70502.243011200015</v>
      </c>
      <c r="Q78" s="355"/>
      <c r="R78" s="355"/>
      <c r="S78" s="355"/>
    </row>
    <row r="79" spans="1:19" s="142" customFormat="1" ht="22" x14ac:dyDescent="0.25">
      <c r="A79" s="567">
        <f>+A68+0.1</f>
        <v>3.3000000000000003</v>
      </c>
      <c r="B79" s="583" t="s">
        <v>1140</v>
      </c>
      <c r="C79" s="569"/>
      <c r="D79" s="524"/>
      <c r="E79" s="569"/>
      <c r="F79" s="569"/>
      <c r="G79" s="569"/>
      <c r="H79" s="569"/>
      <c r="I79" s="569"/>
      <c r="J79" s="569"/>
      <c r="K79" s="569"/>
      <c r="L79" s="569"/>
      <c r="M79" s="546"/>
      <c r="N79" s="546"/>
      <c r="O79" s="569"/>
      <c r="P79" s="313"/>
      <c r="Q79" s="355"/>
      <c r="R79" s="355"/>
      <c r="S79" s="355"/>
    </row>
    <row r="80" spans="1:19" s="142" customFormat="1" ht="22" x14ac:dyDescent="0.25">
      <c r="A80" s="570" t="s">
        <v>701</v>
      </c>
      <c r="B80" s="571" t="s">
        <v>417</v>
      </c>
      <c r="C80" s="545">
        <v>7.42</v>
      </c>
      <c r="D80" s="524" t="s">
        <v>637</v>
      </c>
      <c r="E80" s="572">
        <v>0</v>
      </c>
      <c r="F80" s="545">
        <f>F59</f>
        <v>200</v>
      </c>
      <c r="G80" s="545">
        <f>F80</f>
        <v>200</v>
      </c>
      <c r="H80" s="563">
        <v>12</v>
      </c>
      <c r="I80" s="546">
        <v>8</v>
      </c>
      <c r="J80" s="545">
        <f t="shared" ref="J80:J81" si="49">H80+I80</f>
        <v>20</v>
      </c>
      <c r="K80" s="545">
        <f t="shared" ref="K80:K81" si="50">J80%*G80</f>
        <v>40</v>
      </c>
      <c r="L80" s="545">
        <f t="shared" ref="L80:L81" si="51">5%*((G80)+(K80))</f>
        <v>12</v>
      </c>
      <c r="M80" s="545">
        <f t="shared" ref="M80:M81" si="52">K80+L80</f>
        <v>52</v>
      </c>
      <c r="N80" s="547">
        <f t="shared" ref="N80:N81" si="53">(+M80+G80)*C80</f>
        <v>1869.84</v>
      </c>
      <c r="O80" s="545">
        <f t="shared" ref="O80:O81" si="54">N80/C80</f>
        <v>252</v>
      </c>
      <c r="P80" s="416"/>
      <c r="Q80" s="355"/>
      <c r="R80" s="355"/>
      <c r="S80" s="355"/>
    </row>
    <row r="81" spans="1:19" s="105" customFormat="1" ht="22" x14ac:dyDescent="0.15">
      <c r="A81" s="570" t="s">
        <v>702</v>
      </c>
      <c r="B81" s="571" t="s">
        <v>412</v>
      </c>
      <c r="C81" s="545">
        <v>5.56</v>
      </c>
      <c r="D81" s="524" t="s">
        <v>637</v>
      </c>
      <c r="E81" s="572">
        <f>E60</f>
        <v>4500</v>
      </c>
      <c r="F81" s="545">
        <f>F60</f>
        <v>1000</v>
      </c>
      <c r="G81" s="545">
        <f t="shared" ref="G81" si="55">E81+F81</f>
        <v>5500</v>
      </c>
      <c r="H81" s="563">
        <v>12</v>
      </c>
      <c r="I81" s="546">
        <v>8</v>
      </c>
      <c r="J81" s="545">
        <f t="shared" si="49"/>
        <v>20</v>
      </c>
      <c r="K81" s="545">
        <f t="shared" si="50"/>
        <v>1100</v>
      </c>
      <c r="L81" s="545">
        <f t="shared" si="51"/>
        <v>330</v>
      </c>
      <c r="M81" s="545">
        <f t="shared" si="52"/>
        <v>1430</v>
      </c>
      <c r="N81" s="547">
        <f t="shared" si="53"/>
        <v>38530.799999999996</v>
      </c>
      <c r="O81" s="545">
        <f t="shared" si="54"/>
        <v>6930</v>
      </c>
      <c r="P81" s="416"/>
      <c r="Q81" s="355"/>
      <c r="R81" s="355"/>
      <c r="S81" s="355"/>
    </row>
    <row r="82" spans="1:19" s="142" customFormat="1" ht="22" x14ac:dyDescent="0.25">
      <c r="A82" s="570" t="s">
        <v>731</v>
      </c>
      <c r="B82" s="571" t="s">
        <v>413</v>
      </c>
      <c r="C82" s="545"/>
      <c r="D82" s="524"/>
      <c r="E82" s="572"/>
      <c r="F82" s="545"/>
      <c r="G82" s="545"/>
      <c r="H82" s="545"/>
      <c r="I82" s="545"/>
      <c r="J82" s="545"/>
      <c r="K82" s="545"/>
      <c r="L82" s="545"/>
      <c r="M82" s="545"/>
      <c r="N82" s="545"/>
      <c r="O82" s="545"/>
      <c r="P82" s="357"/>
      <c r="Q82" s="355"/>
      <c r="R82" s="355"/>
      <c r="S82" s="355"/>
    </row>
    <row r="83" spans="1:19" s="105" customFormat="1" ht="21" x14ac:dyDescent="0.15">
      <c r="A83" s="573" t="s">
        <v>938</v>
      </c>
      <c r="B83" s="574" t="s">
        <v>928</v>
      </c>
      <c r="C83" s="572">
        <v>223.73</v>
      </c>
      <c r="D83" s="575" t="s">
        <v>298</v>
      </c>
      <c r="E83" s="572">
        <f>E72</f>
        <v>80</v>
      </c>
      <c r="F83" s="569">
        <f>F72</f>
        <v>10</v>
      </c>
      <c r="G83" s="545">
        <f t="shared" ref="G83:G89" si="56">E83+F83</f>
        <v>90</v>
      </c>
      <c r="H83" s="563">
        <v>12</v>
      </c>
      <c r="I83" s="546">
        <v>8</v>
      </c>
      <c r="J83" s="545">
        <f t="shared" ref="J83:J89" si="57">H83+I83</f>
        <v>20</v>
      </c>
      <c r="K83" s="545">
        <f t="shared" ref="K83:K89" si="58">J83%*G83</f>
        <v>18</v>
      </c>
      <c r="L83" s="545">
        <f t="shared" ref="L83:L89" si="59">5%*((G83)+(K83))</f>
        <v>5.4</v>
      </c>
      <c r="M83" s="545">
        <f t="shared" ref="M83:M88" si="60">K83+L83</f>
        <v>23.4</v>
      </c>
      <c r="N83" s="547">
        <f t="shared" ref="N83:N89" si="61">(+M83+G83)*C83</f>
        <v>25370.982</v>
      </c>
      <c r="O83" s="545">
        <f t="shared" ref="O83:O89" si="62">N83/C83</f>
        <v>113.4</v>
      </c>
      <c r="P83" s="313"/>
      <c r="Q83" s="355"/>
      <c r="R83" s="355"/>
      <c r="S83" s="355"/>
    </row>
    <row r="84" spans="1:19" s="105" customFormat="1" ht="21" x14ac:dyDescent="0.15">
      <c r="A84" s="573" t="s">
        <v>939</v>
      </c>
      <c r="B84" s="574" t="s">
        <v>929</v>
      </c>
      <c r="C84" s="572">
        <v>403.22</v>
      </c>
      <c r="D84" s="575" t="s">
        <v>298</v>
      </c>
      <c r="E84" s="572">
        <f>E62</f>
        <v>80</v>
      </c>
      <c r="F84" s="569">
        <f>F62</f>
        <v>10</v>
      </c>
      <c r="G84" s="545">
        <f t="shared" si="56"/>
        <v>90</v>
      </c>
      <c r="H84" s="563">
        <v>12</v>
      </c>
      <c r="I84" s="546">
        <v>8</v>
      </c>
      <c r="J84" s="545">
        <f t="shared" si="57"/>
        <v>20</v>
      </c>
      <c r="K84" s="545">
        <f t="shared" si="58"/>
        <v>18</v>
      </c>
      <c r="L84" s="545">
        <f t="shared" si="59"/>
        <v>5.4</v>
      </c>
      <c r="M84" s="545">
        <f t="shared" si="60"/>
        <v>23.4</v>
      </c>
      <c r="N84" s="547">
        <f t="shared" si="61"/>
        <v>45725.148000000008</v>
      </c>
      <c r="O84" s="545">
        <f t="shared" si="62"/>
        <v>113.40000000000002</v>
      </c>
      <c r="P84" s="355"/>
      <c r="Q84" s="355"/>
      <c r="R84" s="355"/>
      <c r="S84" s="355"/>
    </row>
    <row r="85" spans="1:19" s="105" customFormat="1" ht="22" x14ac:dyDescent="0.15">
      <c r="A85" s="573" t="s">
        <v>940</v>
      </c>
      <c r="B85" s="576" t="s">
        <v>350</v>
      </c>
      <c r="C85" s="572">
        <f>+SUM(C83:C84)*2%</f>
        <v>12.539000000000001</v>
      </c>
      <c r="D85" s="575" t="s">
        <v>298</v>
      </c>
      <c r="E85" s="572">
        <v>100</v>
      </c>
      <c r="F85" s="569">
        <v>8</v>
      </c>
      <c r="G85" s="545">
        <f t="shared" si="56"/>
        <v>108</v>
      </c>
      <c r="H85" s="563">
        <v>12</v>
      </c>
      <c r="I85" s="546">
        <v>8</v>
      </c>
      <c r="J85" s="545">
        <f t="shared" si="57"/>
        <v>20</v>
      </c>
      <c r="K85" s="545">
        <f t="shared" si="58"/>
        <v>21.6</v>
      </c>
      <c r="L85" s="545">
        <f t="shared" si="59"/>
        <v>6.48</v>
      </c>
      <c r="M85" s="545">
        <f t="shared" si="60"/>
        <v>28.080000000000002</v>
      </c>
      <c r="N85" s="547">
        <f t="shared" si="61"/>
        <v>1706.3071200000004</v>
      </c>
      <c r="O85" s="545">
        <f t="shared" si="62"/>
        <v>136.08000000000001</v>
      </c>
      <c r="P85" s="355"/>
      <c r="Q85" s="355"/>
      <c r="R85" s="355"/>
      <c r="S85" s="355"/>
    </row>
    <row r="86" spans="1:19" s="105" customFormat="1" ht="22" x14ac:dyDescent="0.15">
      <c r="A86" s="570" t="s">
        <v>866</v>
      </c>
      <c r="B86" s="577" t="s">
        <v>415</v>
      </c>
      <c r="C86" s="572">
        <v>1.69</v>
      </c>
      <c r="D86" s="575" t="s">
        <v>637</v>
      </c>
      <c r="E86" s="572">
        <v>900</v>
      </c>
      <c r="F86" s="545">
        <v>100</v>
      </c>
      <c r="G86" s="545">
        <f t="shared" si="56"/>
        <v>1000</v>
      </c>
      <c r="H86" s="563">
        <v>12</v>
      </c>
      <c r="I86" s="546">
        <v>8</v>
      </c>
      <c r="J86" s="545">
        <f t="shared" si="57"/>
        <v>20</v>
      </c>
      <c r="K86" s="545">
        <f t="shared" si="58"/>
        <v>200</v>
      </c>
      <c r="L86" s="545">
        <f t="shared" si="59"/>
        <v>60</v>
      </c>
      <c r="M86" s="545">
        <f t="shared" si="60"/>
        <v>260</v>
      </c>
      <c r="N86" s="547">
        <f t="shared" si="61"/>
        <v>2129.4</v>
      </c>
      <c r="O86" s="545">
        <f t="shared" si="62"/>
        <v>1260</v>
      </c>
      <c r="P86" s="357"/>
      <c r="Q86" s="355"/>
      <c r="R86" s="355"/>
      <c r="S86" s="355"/>
    </row>
    <row r="87" spans="1:19" ht="22" x14ac:dyDescent="0.2">
      <c r="A87" s="570" t="s">
        <v>974</v>
      </c>
      <c r="B87" s="577" t="s">
        <v>937</v>
      </c>
      <c r="C87" s="572">
        <f>+C80-C81</f>
        <v>1.8600000000000003</v>
      </c>
      <c r="D87" s="575" t="s">
        <v>892</v>
      </c>
      <c r="E87" s="578">
        <v>0</v>
      </c>
      <c r="F87" s="578">
        <v>150</v>
      </c>
      <c r="G87" s="545">
        <f t="shared" si="56"/>
        <v>150</v>
      </c>
      <c r="H87" s="563">
        <v>12</v>
      </c>
      <c r="I87" s="546">
        <v>8</v>
      </c>
      <c r="J87" s="545">
        <f t="shared" si="57"/>
        <v>20</v>
      </c>
      <c r="K87" s="545">
        <f t="shared" si="58"/>
        <v>30</v>
      </c>
      <c r="L87" s="545">
        <f t="shared" si="59"/>
        <v>9</v>
      </c>
      <c r="M87" s="545">
        <f t="shared" si="60"/>
        <v>39</v>
      </c>
      <c r="N87" s="547">
        <f t="shared" si="61"/>
        <v>351.54000000000008</v>
      </c>
      <c r="O87" s="545">
        <f t="shared" si="62"/>
        <v>189</v>
      </c>
      <c r="P87" s="355"/>
      <c r="Q87" s="405"/>
      <c r="R87" s="99"/>
      <c r="S87" s="99"/>
    </row>
    <row r="88" spans="1:19" ht="22" x14ac:dyDescent="0.2">
      <c r="A88" s="570" t="s">
        <v>975</v>
      </c>
      <c r="B88" s="585" t="s">
        <v>1492</v>
      </c>
      <c r="C88" s="572">
        <v>1</v>
      </c>
      <c r="D88" s="575" t="s">
        <v>5</v>
      </c>
      <c r="E88" s="578">
        <f>4664.745+15000</f>
        <v>19664.744999999999</v>
      </c>
      <c r="F88" s="578">
        <f>E88*0.35</f>
        <v>6882.6607499999991</v>
      </c>
      <c r="G88" s="545">
        <f t="shared" si="56"/>
        <v>26547.405749999998</v>
      </c>
      <c r="H88" s="545">
        <v>5</v>
      </c>
      <c r="I88" s="546">
        <v>10</v>
      </c>
      <c r="J88" s="545">
        <f t="shared" si="57"/>
        <v>15</v>
      </c>
      <c r="K88" s="545">
        <f t="shared" si="58"/>
        <v>3982.1108624999997</v>
      </c>
      <c r="L88" s="545">
        <f t="shared" si="59"/>
        <v>1526.4758306249998</v>
      </c>
      <c r="M88" s="545">
        <f t="shared" si="60"/>
        <v>5508.5866931249993</v>
      </c>
      <c r="N88" s="547">
        <f t="shared" si="61"/>
        <v>32055.992443124996</v>
      </c>
      <c r="O88" s="545">
        <f t="shared" si="62"/>
        <v>32055.992443124996</v>
      </c>
      <c r="Q88" s="355"/>
      <c r="R88" s="355"/>
      <c r="S88" s="355"/>
    </row>
    <row r="89" spans="1:19" ht="22" x14ac:dyDescent="0.2">
      <c r="A89" s="570" t="s">
        <v>1473</v>
      </c>
      <c r="B89" s="577" t="s">
        <v>349</v>
      </c>
      <c r="C89" s="572">
        <v>1</v>
      </c>
      <c r="D89" s="575" t="s">
        <v>5</v>
      </c>
      <c r="E89" s="579">
        <v>5000</v>
      </c>
      <c r="F89" s="580">
        <f>+E89*0.25</f>
        <v>1250</v>
      </c>
      <c r="G89" s="545">
        <f t="shared" si="56"/>
        <v>6250</v>
      </c>
      <c r="H89" s="563">
        <v>12</v>
      </c>
      <c r="I89" s="546">
        <v>8</v>
      </c>
      <c r="J89" s="545">
        <f t="shared" si="57"/>
        <v>20</v>
      </c>
      <c r="K89" s="545">
        <f t="shared" si="58"/>
        <v>1250</v>
      </c>
      <c r="L89" s="545">
        <f t="shared" si="59"/>
        <v>375</v>
      </c>
      <c r="M89" s="545">
        <f>K89+L89</f>
        <v>1625</v>
      </c>
      <c r="N89" s="547">
        <f t="shared" si="61"/>
        <v>7875</v>
      </c>
      <c r="O89" s="545">
        <f t="shared" si="62"/>
        <v>7875</v>
      </c>
      <c r="P89" s="99"/>
      <c r="Q89" s="355"/>
      <c r="R89" s="355"/>
      <c r="S89" s="355"/>
    </row>
    <row r="90" spans="1:19" ht="21" x14ac:dyDescent="0.2">
      <c r="A90" s="581"/>
      <c r="B90" s="584"/>
      <c r="C90" s="569"/>
      <c r="D90" s="524"/>
      <c r="E90" s="569"/>
      <c r="F90" s="569"/>
      <c r="G90" s="569"/>
      <c r="H90" s="569"/>
      <c r="I90" s="569"/>
      <c r="J90" s="569"/>
      <c r="K90" s="569"/>
      <c r="L90" s="569"/>
      <c r="M90" s="554" t="s">
        <v>343</v>
      </c>
      <c r="N90" s="555">
        <f>SUM(N80:N89)</f>
        <v>155615.00956312497</v>
      </c>
      <c r="O90" s="586"/>
      <c r="P90" s="429">
        <f>N90</f>
        <v>155615.00956312497</v>
      </c>
      <c r="Q90" s="405"/>
      <c r="R90" s="99"/>
      <c r="S90" s="99"/>
    </row>
    <row r="91" spans="1:19" ht="22" x14ac:dyDescent="0.2">
      <c r="A91" s="587">
        <f>+A79+0.1</f>
        <v>3.4000000000000004</v>
      </c>
      <c r="B91" s="583" t="s">
        <v>1295</v>
      </c>
      <c r="C91" s="569"/>
      <c r="D91" s="524"/>
      <c r="E91" s="569"/>
      <c r="F91" s="569"/>
      <c r="G91" s="569"/>
      <c r="H91" s="569"/>
      <c r="I91" s="569"/>
      <c r="J91" s="569"/>
      <c r="K91" s="569"/>
      <c r="L91" s="569"/>
      <c r="M91" s="546"/>
      <c r="N91" s="546"/>
      <c r="O91" s="569"/>
      <c r="Q91" s="355"/>
      <c r="R91" s="355"/>
      <c r="S91" s="355"/>
    </row>
    <row r="92" spans="1:19" ht="22" x14ac:dyDescent="0.2">
      <c r="A92" s="570" t="s">
        <v>957</v>
      </c>
      <c r="B92" s="571" t="s">
        <v>412</v>
      </c>
      <c r="C92" s="545">
        <f>20.98*1.5</f>
        <v>31.47</v>
      </c>
      <c r="D92" s="524" t="s">
        <v>637</v>
      </c>
      <c r="E92" s="572">
        <f>E60</f>
        <v>4500</v>
      </c>
      <c r="F92" s="545">
        <f>F60</f>
        <v>1000</v>
      </c>
      <c r="G92" s="545">
        <f t="shared" ref="G92" si="63">E92+F92</f>
        <v>5500</v>
      </c>
      <c r="H92" s="563">
        <v>12</v>
      </c>
      <c r="I92" s="546">
        <v>8</v>
      </c>
      <c r="J92" s="545">
        <f t="shared" ref="J92" si="64">H92+I92</f>
        <v>20</v>
      </c>
      <c r="K92" s="545">
        <f t="shared" ref="K92" si="65">J92%*G92</f>
        <v>1100</v>
      </c>
      <c r="L92" s="545">
        <f t="shared" ref="L92" si="66">5%*((G92)+(K92))</f>
        <v>330</v>
      </c>
      <c r="M92" s="545">
        <f t="shared" ref="M92" si="67">K92+L92</f>
        <v>1430</v>
      </c>
      <c r="N92" s="547">
        <f t="shared" ref="N92" si="68">(+M92+G92)*C92</f>
        <v>218087.1</v>
      </c>
      <c r="O92" s="545">
        <f t="shared" ref="O92" si="69">N92/C92</f>
        <v>6930</v>
      </c>
      <c r="Q92" s="355"/>
      <c r="R92" s="355"/>
      <c r="S92" s="355"/>
    </row>
    <row r="93" spans="1:19" ht="22" x14ac:dyDescent="0.2">
      <c r="A93" s="570" t="s">
        <v>958</v>
      </c>
      <c r="B93" s="571" t="s">
        <v>413</v>
      </c>
      <c r="C93" s="545"/>
      <c r="D93" s="524"/>
      <c r="E93" s="572"/>
      <c r="F93" s="545"/>
      <c r="G93" s="545"/>
      <c r="H93" s="545"/>
      <c r="I93" s="545"/>
      <c r="J93" s="545"/>
      <c r="K93" s="545"/>
      <c r="L93" s="545"/>
      <c r="M93" s="545"/>
      <c r="N93" s="545"/>
      <c r="O93" s="545"/>
      <c r="P93" s="417"/>
      <c r="Q93" s="355"/>
      <c r="R93" s="355"/>
      <c r="S93" s="355"/>
    </row>
    <row r="94" spans="1:19" ht="21" x14ac:dyDescent="0.2">
      <c r="A94" s="573" t="s">
        <v>959</v>
      </c>
      <c r="B94" s="588" t="s">
        <v>925</v>
      </c>
      <c r="C94" s="569">
        <f>776*1.2</f>
        <v>931.19999999999993</v>
      </c>
      <c r="D94" s="524" t="s">
        <v>298</v>
      </c>
      <c r="E94" s="572">
        <f>E62</f>
        <v>80</v>
      </c>
      <c r="F94" s="569">
        <f>F62</f>
        <v>10</v>
      </c>
      <c r="G94" s="545">
        <f t="shared" ref="G94:G97" si="70">E94+F94</f>
        <v>90</v>
      </c>
      <c r="H94" s="563">
        <v>12</v>
      </c>
      <c r="I94" s="546">
        <v>8</v>
      </c>
      <c r="J94" s="545">
        <f t="shared" ref="J94:J97" si="71">H94+I94</f>
        <v>20</v>
      </c>
      <c r="K94" s="545">
        <f t="shared" ref="K94:K98" si="72">J94%*G94</f>
        <v>18</v>
      </c>
      <c r="L94" s="545">
        <f t="shared" ref="L94:L98" si="73">5%*((G94)+(K94))</f>
        <v>5.4</v>
      </c>
      <c r="M94" s="545">
        <f t="shared" ref="M94:M97" si="74">K94+L94</f>
        <v>23.4</v>
      </c>
      <c r="N94" s="547">
        <f t="shared" ref="N94:N98" si="75">(+M94+G94)*C94</f>
        <v>105598.08</v>
      </c>
      <c r="O94" s="545">
        <f t="shared" ref="O94:O98" si="76">N94/C94</f>
        <v>113.4</v>
      </c>
      <c r="P94" s="417"/>
      <c r="Q94" s="405"/>
      <c r="R94" s="99"/>
      <c r="S94" s="99"/>
    </row>
    <row r="95" spans="1:19" ht="22" x14ac:dyDescent="0.2">
      <c r="A95" s="573" t="s">
        <v>960</v>
      </c>
      <c r="B95" s="576" t="s">
        <v>350</v>
      </c>
      <c r="C95" s="572">
        <f>+SUM(C94)*1%</f>
        <v>9.3119999999999994</v>
      </c>
      <c r="D95" s="575" t="s">
        <v>298</v>
      </c>
      <c r="E95" s="572">
        <v>100</v>
      </c>
      <c r="F95" s="569">
        <v>8</v>
      </c>
      <c r="G95" s="545">
        <f t="shared" si="70"/>
        <v>108</v>
      </c>
      <c r="H95" s="563">
        <v>12</v>
      </c>
      <c r="I95" s="546">
        <v>8</v>
      </c>
      <c r="J95" s="545">
        <f t="shared" si="71"/>
        <v>20</v>
      </c>
      <c r="K95" s="545">
        <f t="shared" si="72"/>
        <v>21.6</v>
      </c>
      <c r="L95" s="545">
        <f t="shared" si="73"/>
        <v>6.48</v>
      </c>
      <c r="M95" s="545">
        <f t="shared" si="74"/>
        <v>28.080000000000002</v>
      </c>
      <c r="N95" s="547">
        <f t="shared" si="75"/>
        <v>1267.17696</v>
      </c>
      <c r="O95" s="545">
        <f t="shared" si="76"/>
        <v>136.08000000000001</v>
      </c>
      <c r="P95" s="417"/>
      <c r="Q95" s="355"/>
      <c r="R95" s="355"/>
      <c r="S95" s="355"/>
    </row>
    <row r="96" spans="1:19" ht="22" x14ac:dyDescent="0.2">
      <c r="A96" s="570" t="s">
        <v>961</v>
      </c>
      <c r="B96" s="577" t="s">
        <v>415</v>
      </c>
      <c r="C96" s="572">
        <v>20.99</v>
      </c>
      <c r="D96" s="575" t="s">
        <v>637</v>
      </c>
      <c r="E96" s="572">
        <v>900</v>
      </c>
      <c r="F96" s="545">
        <v>100</v>
      </c>
      <c r="G96" s="545">
        <f t="shared" si="70"/>
        <v>1000</v>
      </c>
      <c r="H96" s="563">
        <v>12</v>
      </c>
      <c r="I96" s="546">
        <v>8</v>
      </c>
      <c r="J96" s="545">
        <f t="shared" si="71"/>
        <v>20</v>
      </c>
      <c r="K96" s="545">
        <f t="shared" si="72"/>
        <v>200</v>
      </c>
      <c r="L96" s="545">
        <f t="shared" si="73"/>
        <v>60</v>
      </c>
      <c r="M96" s="545">
        <f t="shared" si="74"/>
        <v>260</v>
      </c>
      <c r="N96" s="547">
        <f t="shared" si="75"/>
        <v>26447.399999999998</v>
      </c>
      <c r="O96" s="545">
        <f t="shared" si="76"/>
        <v>1260</v>
      </c>
      <c r="Q96" s="355"/>
      <c r="R96" s="355"/>
      <c r="S96" s="355"/>
    </row>
    <row r="97" spans="1:21" ht="22" x14ac:dyDescent="0.2">
      <c r="A97" s="570" t="s">
        <v>962</v>
      </c>
      <c r="B97" s="577" t="s">
        <v>956</v>
      </c>
      <c r="C97" s="572">
        <f>10.5+5+(0.4*184)</f>
        <v>89.100000000000009</v>
      </c>
      <c r="D97" s="575" t="s">
        <v>892</v>
      </c>
      <c r="E97" s="578">
        <v>150</v>
      </c>
      <c r="F97" s="578">
        <v>150</v>
      </c>
      <c r="G97" s="545">
        <f t="shared" si="70"/>
        <v>300</v>
      </c>
      <c r="H97" s="563">
        <v>12</v>
      </c>
      <c r="I97" s="546">
        <v>8</v>
      </c>
      <c r="J97" s="545">
        <f t="shared" si="71"/>
        <v>20</v>
      </c>
      <c r="K97" s="545">
        <f t="shared" si="72"/>
        <v>60</v>
      </c>
      <c r="L97" s="545">
        <f t="shared" si="73"/>
        <v>18</v>
      </c>
      <c r="M97" s="545">
        <f t="shared" si="74"/>
        <v>78</v>
      </c>
      <c r="N97" s="547">
        <f t="shared" si="75"/>
        <v>33679.800000000003</v>
      </c>
      <c r="O97" s="545">
        <f t="shared" si="76"/>
        <v>378</v>
      </c>
      <c r="P97" s="417"/>
      <c r="Q97" s="405"/>
      <c r="R97" s="99"/>
      <c r="S97" s="99"/>
    </row>
    <row r="98" spans="1:21" s="6" customFormat="1" ht="18.75" customHeight="1" x14ac:dyDescent="0.2">
      <c r="A98" s="570" t="s">
        <v>963</v>
      </c>
      <c r="B98" s="577" t="s">
        <v>349</v>
      </c>
      <c r="C98" s="572">
        <v>1</v>
      </c>
      <c r="D98" s="575" t="s">
        <v>5</v>
      </c>
      <c r="E98" s="579">
        <v>5000</v>
      </c>
      <c r="F98" s="580">
        <f>+E98*0.25</f>
        <v>1250</v>
      </c>
      <c r="G98" s="545">
        <f>E98+F98</f>
        <v>6250</v>
      </c>
      <c r="H98" s="563">
        <v>12</v>
      </c>
      <c r="I98" s="546">
        <v>8</v>
      </c>
      <c r="J98" s="545">
        <f>H98+I98</f>
        <v>20</v>
      </c>
      <c r="K98" s="545">
        <f t="shared" si="72"/>
        <v>1250</v>
      </c>
      <c r="L98" s="545">
        <f t="shared" si="73"/>
        <v>375</v>
      </c>
      <c r="M98" s="545">
        <f>K98+L98</f>
        <v>1625</v>
      </c>
      <c r="N98" s="547">
        <f t="shared" si="75"/>
        <v>7875</v>
      </c>
      <c r="O98" s="545">
        <f t="shared" si="76"/>
        <v>7875</v>
      </c>
      <c r="P98" s="417"/>
      <c r="Q98" s="355"/>
      <c r="R98" s="355"/>
      <c r="S98" s="355"/>
      <c r="T98" s="374"/>
      <c r="U98" s="374"/>
    </row>
    <row r="99" spans="1:21" s="6" customFormat="1" ht="18.75" customHeight="1" x14ac:dyDescent="0.25">
      <c r="A99" s="581"/>
      <c r="B99" s="584"/>
      <c r="C99" s="569"/>
      <c r="D99" s="524"/>
      <c r="E99" s="569"/>
      <c r="F99" s="569"/>
      <c r="G99" s="569"/>
      <c r="H99" s="569"/>
      <c r="I99" s="569"/>
      <c r="J99" s="569"/>
      <c r="K99" s="569"/>
      <c r="L99" s="569"/>
      <c r="M99" s="554" t="s">
        <v>343</v>
      </c>
      <c r="N99" s="555">
        <f>SUM(N92:N98)</f>
        <v>392954.55696000002</v>
      </c>
      <c r="O99" s="589"/>
      <c r="P99" s="370">
        <f>N99</f>
        <v>392954.55696000002</v>
      </c>
      <c r="Q99" s="355"/>
      <c r="R99" s="355"/>
      <c r="S99" s="355"/>
      <c r="T99" s="145"/>
      <c r="U99" s="145"/>
    </row>
    <row r="100" spans="1:21" s="6" customFormat="1" ht="18.75" customHeight="1" x14ac:dyDescent="0.15">
      <c r="A100" s="587">
        <f>+A91+0.1</f>
        <v>3.5000000000000004</v>
      </c>
      <c r="B100" s="583" t="s">
        <v>309</v>
      </c>
      <c r="C100" s="569"/>
      <c r="D100" s="524"/>
      <c r="E100" s="569"/>
      <c r="F100" s="569"/>
      <c r="G100" s="569"/>
      <c r="H100" s="569"/>
      <c r="I100" s="569"/>
      <c r="J100" s="569"/>
      <c r="K100" s="569"/>
      <c r="L100" s="569"/>
      <c r="M100" s="546"/>
      <c r="N100" s="546"/>
      <c r="O100" s="569"/>
      <c r="P100" s="377"/>
      <c r="Q100" s="355"/>
      <c r="R100" s="355"/>
      <c r="S100" s="355"/>
      <c r="T100" s="145"/>
      <c r="U100" s="145"/>
    </row>
    <row r="101" spans="1:21" s="6" customFormat="1" ht="18.75" customHeight="1" x14ac:dyDescent="0.15">
      <c r="A101" s="570" t="s">
        <v>944</v>
      </c>
      <c r="B101" s="571" t="s">
        <v>412</v>
      </c>
      <c r="C101" s="545">
        <f>10.374*1.1</f>
        <v>11.411400000000002</v>
      </c>
      <c r="D101" s="524" t="s">
        <v>637</v>
      </c>
      <c r="E101" s="572">
        <f>E70</f>
        <v>4500</v>
      </c>
      <c r="F101" s="545">
        <f>F70</f>
        <v>1000</v>
      </c>
      <c r="G101" s="545">
        <f t="shared" ref="G101" si="77">E101+F101</f>
        <v>5500</v>
      </c>
      <c r="H101" s="563">
        <v>12</v>
      </c>
      <c r="I101" s="546">
        <v>8</v>
      </c>
      <c r="J101" s="545">
        <f t="shared" ref="J101" si="78">H101+I101</f>
        <v>20</v>
      </c>
      <c r="K101" s="545">
        <f t="shared" ref="K101" si="79">J101%*G101</f>
        <v>1100</v>
      </c>
      <c r="L101" s="545">
        <f t="shared" ref="L101" si="80">5%*((G101)+(K101))</f>
        <v>330</v>
      </c>
      <c r="M101" s="545">
        <f t="shared" ref="M101" si="81">K101+L101</f>
        <v>1430</v>
      </c>
      <c r="N101" s="547">
        <f t="shared" ref="N101" si="82">(+M101+G101)*C101</f>
        <v>79081.002000000022</v>
      </c>
      <c r="O101" s="545">
        <f t="shared" ref="O101" si="83">N101/C101</f>
        <v>6930.0000000000009</v>
      </c>
      <c r="P101" s="375"/>
      <c r="Q101" s="355"/>
      <c r="R101" s="355"/>
      <c r="S101" s="355"/>
      <c r="T101" s="145"/>
      <c r="U101" s="145"/>
    </row>
    <row r="102" spans="1:21" s="6" customFormat="1" ht="18.75" customHeight="1" x14ac:dyDescent="0.15">
      <c r="A102" s="570" t="s">
        <v>945</v>
      </c>
      <c r="B102" s="571" t="s">
        <v>413</v>
      </c>
      <c r="C102" s="545"/>
      <c r="D102" s="524"/>
      <c r="E102" s="572"/>
      <c r="F102" s="545"/>
      <c r="G102" s="545"/>
      <c r="H102" s="545"/>
      <c r="I102" s="545"/>
      <c r="J102" s="545"/>
      <c r="K102" s="545"/>
      <c r="L102" s="545"/>
      <c r="M102" s="545"/>
      <c r="N102" s="545"/>
      <c r="O102" s="545"/>
      <c r="P102" s="418"/>
      <c r="Q102" s="355"/>
      <c r="R102" s="355"/>
      <c r="S102" s="355"/>
      <c r="T102" s="145"/>
      <c r="U102" s="145"/>
    </row>
    <row r="103" spans="1:21" s="6" customFormat="1" ht="18.75" customHeight="1" x14ac:dyDescent="0.15">
      <c r="A103" s="573" t="s">
        <v>946</v>
      </c>
      <c r="B103" s="574" t="s">
        <v>928</v>
      </c>
      <c r="C103" s="572">
        <v>838.36</v>
      </c>
      <c r="D103" s="575" t="s">
        <v>298</v>
      </c>
      <c r="E103" s="572">
        <f>E83</f>
        <v>80</v>
      </c>
      <c r="F103" s="569">
        <f>F62</f>
        <v>10</v>
      </c>
      <c r="G103" s="545">
        <f t="shared" ref="G103:G106" si="84">E103+F103</f>
        <v>90</v>
      </c>
      <c r="H103" s="563">
        <v>12</v>
      </c>
      <c r="I103" s="546">
        <v>8</v>
      </c>
      <c r="J103" s="545">
        <f t="shared" ref="J103:J106" si="85">H103+I103</f>
        <v>20</v>
      </c>
      <c r="K103" s="545">
        <f t="shared" ref="K103:K106" si="86">J103%*G103</f>
        <v>18</v>
      </c>
      <c r="L103" s="545">
        <f t="shared" ref="L103:L106" si="87">5%*((G103)+(K103))</f>
        <v>5.4</v>
      </c>
      <c r="M103" s="545">
        <f t="shared" ref="M103:M106" si="88">K103+L103</f>
        <v>23.4</v>
      </c>
      <c r="N103" s="547">
        <f t="shared" ref="N103:N106" si="89">(+M103+G103)*C103</f>
        <v>95070.024000000005</v>
      </c>
      <c r="O103" s="545">
        <f t="shared" ref="O103:O106" si="90">N103/C103</f>
        <v>113.4</v>
      </c>
      <c r="P103" s="418"/>
      <c r="Q103" s="355"/>
      <c r="R103" s="355"/>
      <c r="S103" s="355"/>
      <c r="T103" s="145"/>
      <c r="U103" s="145"/>
    </row>
    <row r="104" spans="1:21" s="6" customFormat="1" ht="18.75" customHeight="1" x14ac:dyDescent="0.15">
      <c r="A104" s="573" t="s">
        <v>947</v>
      </c>
      <c r="B104" s="574" t="s">
        <v>929</v>
      </c>
      <c r="C104" s="572">
        <v>584.25</v>
      </c>
      <c r="D104" s="575" t="s">
        <v>298</v>
      </c>
      <c r="E104" s="572">
        <f>E62</f>
        <v>80</v>
      </c>
      <c r="F104" s="569">
        <f>F62</f>
        <v>10</v>
      </c>
      <c r="G104" s="545">
        <f t="shared" si="84"/>
        <v>90</v>
      </c>
      <c r="H104" s="563">
        <v>12</v>
      </c>
      <c r="I104" s="546">
        <v>8</v>
      </c>
      <c r="J104" s="545">
        <f t="shared" si="85"/>
        <v>20</v>
      </c>
      <c r="K104" s="545">
        <f t="shared" si="86"/>
        <v>18</v>
      </c>
      <c r="L104" s="545">
        <f t="shared" si="87"/>
        <v>5.4</v>
      </c>
      <c r="M104" s="545">
        <f t="shared" si="88"/>
        <v>23.4</v>
      </c>
      <c r="N104" s="547">
        <f t="shared" si="89"/>
        <v>66253.95</v>
      </c>
      <c r="O104" s="545">
        <f t="shared" si="90"/>
        <v>113.39999999999999</v>
      </c>
      <c r="P104" s="418"/>
      <c r="Q104" s="355"/>
      <c r="R104" s="355"/>
      <c r="S104" s="355"/>
      <c r="T104" s="145"/>
      <c r="U104" s="145"/>
    </row>
    <row r="105" spans="1:21" s="6" customFormat="1" ht="18.75" customHeight="1" x14ac:dyDescent="0.15">
      <c r="A105" s="573" t="s">
        <v>948</v>
      </c>
      <c r="B105" s="576" t="s">
        <v>350</v>
      </c>
      <c r="C105" s="572">
        <f>+SUM(C103:C104)*1%</f>
        <v>14.226100000000002</v>
      </c>
      <c r="D105" s="575" t="s">
        <v>298</v>
      </c>
      <c r="E105" s="572">
        <v>100</v>
      </c>
      <c r="F105" s="569">
        <v>8</v>
      </c>
      <c r="G105" s="545">
        <f t="shared" si="84"/>
        <v>108</v>
      </c>
      <c r="H105" s="563">
        <v>12</v>
      </c>
      <c r="I105" s="546">
        <v>8</v>
      </c>
      <c r="J105" s="545">
        <f t="shared" si="85"/>
        <v>20</v>
      </c>
      <c r="K105" s="545">
        <f t="shared" si="86"/>
        <v>21.6</v>
      </c>
      <c r="L105" s="545">
        <f t="shared" si="87"/>
        <v>6.48</v>
      </c>
      <c r="M105" s="545">
        <f t="shared" si="88"/>
        <v>28.080000000000002</v>
      </c>
      <c r="N105" s="547">
        <f t="shared" si="89"/>
        <v>1935.8876880000005</v>
      </c>
      <c r="O105" s="545">
        <f t="shared" si="90"/>
        <v>136.08000000000001</v>
      </c>
      <c r="P105" s="418"/>
      <c r="Q105" s="355"/>
      <c r="R105" s="355"/>
      <c r="S105" s="355"/>
      <c r="T105" s="145"/>
      <c r="U105" s="145"/>
    </row>
    <row r="106" spans="1:21" s="6" customFormat="1" ht="18.75" customHeight="1" x14ac:dyDescent="0.15">
      <c r="A106" s="570" t="s">
        <v>949</v>
      </c>
      <c r="B106" s="577" t="s">
        <v>349</v>
      </c>
      <c r="C106" s="572">
        <v>1</v>
      </c>
      <c r="D106" s="575" t="s">
        <v>5</v>
      </c>
      <c r="E106" s="579">
        <v>5000</v>
      </c>
      <c r="F106" s="580">
        <f>+E106*0.25</f>
        <v>1250</v>
      </c>
      <c r="G106" s="545">
        <f t="shared" si="84"/>
        <v>6250</v>
      </c>
      <c r="H106" s="563">
        <v>12</v>
      </c>
      <c r="I106" s="546">
        <v>8</v>
      </c>
      <c r="J106" s="545">
        <f t="shared" si="85"/>
        <v>20</v>
      </c>
      <c r="K106" s="545">
        <f t="shared" si="86"/>
        <v>1250</v>
      </c>
      <c r="L106" s="545">
        <f t="shared" si="87"/>
        <v>375</v>
      </c>
      <c r="M106" s="545">
        <f t="shared" si="88"/>
        <v>1625</v>
      </c>
      <c r="N106" s="547">
        <f t="shared" si="89"/>
        <v>7875</v>
      </c>
      <c r="O106" s="545">
        <f t="shared" si="90"/>
        <v>7875</v>
      </c>
      <c r="P106" s="418"/>
      <c r="Q106" s="355"/>
      <c r="R106" s="355"/>
      <c r="S106" s="355"/>
      <c r="T106" s="145"/>
      <c r="U106" s="145"/>
    </row>
    <row r="107" spans="1:21" s="6" customFormat="1" ht="18.75" customHeight="1" x14ac:dyDescent="0.2">
      <c r="A107" s="570"/>
      <c r="B107" s="577"/>
      <c r="C107" s="572"/>
      <c r="D107" s="575"/>
      <c r="E107" s="572"/>
      <c r="F107" s="578"/>
      <c r="G107" s="545"/>
      <c r="H107" s="545"/>
      <c r="I107" s="547"/>
      <c r="J107" s="545"/>
      <c r="K107" s="545"/>
      <c r="L107" s="545"/>
      <c r="M107" s="554" t="s">
        <v>343</v>
      </c>
      <c r="N107" s="555">
        <f>SUM(N101:N106)</f>
        <v>250215.86368800001</v>
      </c>
      <c r="O107" s="590"/>
      <c r="P107" s="370">
        <f>N107</f>
        <v>250215.86368800001</v>
      </c>
      <c r="Q107" s="355"/>
      <c r="R107" s="355"/>
      <c r="S107" s="355"/>
      <c r="T107" s="145"/>
      <c r="U107" s="145"/>
    </row>
    <row r="108" spans="1:21" s="6" customFormat="1" ht="18.75" customHeight="1" x14ac:dyDescent="0.15">
      <c r="A108" s="591">
        <f>+A100+0.1</f>
        <v>3.6000000000000005</v>
      </c>
      <c r="B108" s="583" t="s">
        <v>927</v>
      </c>
      <c r="C108" s="569"/>
      <c r="D108" s="524"/>
      <c r="E108" s="569"/>
      <c r="F108" s="569"/>
      <c r="G108" s="569"/>
      <c r="H108" s="569"/>
      <c r="I108" s="569"/>
      <c r="J108" s="569"/>
      <c r="K108" s="569"/>
      <c r="L108" s="569"/>
      <c r="M108" s="546"/>
      <c r="N108" s="546"/>
      <c r="O108" s="569"/>
      <c r="P108" s="418"/>
      <c r="Q108" s="355"/>
      <c r="R108" s="355"/>
      <c r="S108" s="355"/>
      <c r="T108" s="145"/>
      <c r="U108" s="145"/>
    </row>
    <row r="109" spans="1:21" s="6" customFormat="1" ht="18.75" customHeight="1" x14ac:dyDescent="0.15">
      <c r="A109" s="570" t="s">
        <v>950</v>
      </c>
      <c r="B109" s="571" t="s">
        <v>412</v>
      </c>
      <c r="C109" s="545">
        <f>4.03*1.1</f>
        <v>4.4330000000000007</v>
      </c>
      <c r="D109" s="524" t="s">
        <v>637</v>
      </c>
      <c r="E109" s="572">
        <f>E60</f>
        <v>4500</v>
      </c>
      <c r="F109" s="545">
        <f>F60</f>
        <v>1000</v>
      </c>
      <c r="G109" s="545">
        <f t="shared" ref="G109" si="91">E109+F109</f>
        <v>5500</v>
      </c>
      <c r="H109" s="563">
        <v>12</v>
      </c>
      <c r="I109" s="546">
        <v>8</v>
      </c>
      <c r="J109" s="545">
        <f t="shared" ref="J109" si="92">H109+I109</f>
        <v>20</v>
      </c>
      <c r="K109" s="545">
        <f t="shared" ref="K109" si="93">J109%*G109</f>
        <v>1100</v>
      </c>
      <c r="L109" s="545">
        <f t="shared" ref="L109" si="94">5%*((G109)+(K109))</f>
        <v>330</v>
      </c>
      <c r="M109" s="545">
        <f t="shared" ref="M109" si="95">K109+L109</f>
        <v>1430</v>
      </c>
      <c r="N109" s="547">
        <f t="shared" ref="N109" si="96">(+M109+G109)*C109</f>
        <v>30720.690000000006</v>
      </c>
      <c r="O109" s="545">
        <f t="shared" ref="O109" si="97">N109/C109</f>
        <v>6930</v>
      </c>
      <c r="P109" s="418"/>
      <c r="Q109" s="355"/>
      <c r="R109" s="355"/>
      <c r="S109" s="355"/>
      <c r="T109" s="145"/>
      <c r="U109" s="145"/>
    </row>
    <row r="110" spans="1:21" s="6" customFormat="1" ht="18.75" customHeight="1" x14ac:dyDescent="0.15">
      <c r="A110" s="570" t="s">
        <v>951</v>
      </c>
      <c r="B110" s="571" t="s">
        <v>413</v>
      </c>
      <c r="C110" s="545"/>
      <c r="D110" s="524"/>
      <c r="E110" s="572"/>
      <c r="F110" s="545"/>
      <c r="G110" s="545"/>
      <c r="H110" s="545"/>
      <c r="I110" s="545"/>
      <c r="J110" s="545"/>
      <c r="K110" s="545"/>
      <c r="L110" s="545"/>
      <c r="M110" s="545"/>
      <c r="N110" s="545"/>
      <c r="O110" s="545"/>
      <c r="P110" s="418"/>
      <c r="Q110" s="355"/>
      <c r="R110" s="355"/>
      <c r="S110" s="355"/>
      <c r="T110" s="145"/>
      <c r="U110" s="145"/>
    </row>
    <row r="111" spans="1:21" s="6" customFormat="1" ht="18.75" customHeight="1" x14ac:dyDescent="0.15">
      <c r="A111" s="573" t="s">
        <v>952</v>
      </c>
      <c r="B111" s="574" t="s">
        <v>928</v>
      </c>
      <c r="C111" s="572">
        <f>238.4</f>
        <v>238.4</v>
      </c>
      <c r="D111" s="575" t="s">
        <v>298</v>
      </c>
      <c r="E111" s="572">
        <f>E62</f>
        <v>80</v>
      </c>
      <c r="F111" s="569">
        <f>F62</f>
        <v>10</v>
      </c>
      <c r="G111" s="545">
        <f t="shared" ref="G111:G115" si="98">E111+F111</f>
        <v>90</v>
      </c>
      <c r="H111" s="563">
        <v>12</v>
      </c>
      <c r="I111" s="546">
        <v>8</v>
      </c>
      <c r="J111" s="545">
        <f t="shared" ref="J111:J115" si="99">H111+I111</f>
        <v>20</v>
      </c>
      <c r="K111" s="545">
        <f t="shared" ref="K111:K115" si="100">J111%*G111</f>
        <v>18</v>
      </c>
      <c r="L111" s="545">
        <f t="shared" ref="L111:L115" si="101">5%*((G111)+(K111))</f>
        <v>5.4</v>
      </c>
      <c r="M111" s="545">
        <f t="shared" ref="M111:M115" si="102">K111+L111</f>
        <v>23.4</v>
      </c>
      <c r="N111" s="547">
        <f t="shared" ref="N111:N115" si="103">(+M111+G111)*C111</f>
        <v>27034.560000000001</v>
      </c>
      <c r="O111" s="545">
        <f t="shared" ref="O111:O115" si="104">N111/C111</f>
        <v>113.4</v>
      </c>
      <c r="P111" s="418"/>
      <c r="Q111" s="355"/>
      <c r="R111" s="355"/>
      <c r="S111" s="355"/>
      <c r="T111" s="145"/>
      <c r="U111" s="145"/>
    </row>
    <row r="112" spans="1:21" s="6" customFormat="1" ht="18.75" customHeight="1" x14ac:dyDescent="0.15">
      <c r="A112" s="573" t="s">
        <v>953</v>
      </c>
      <c r="B112" s="574" t="s">
        <v>929</v>
      </c>
      <c r="C112" s="572">
        <f>206.94</f>
        <v>206.94</v>
      </c>
      <c r="D112" s="575" t="s">
        <v>298</v>
      </c>
      <c r="E112" s="572">
        <f>E62</f>
        <v>80</v>
      </c>
      <c r="F112" s="569">
        <f>F62</f>
        <v>10</v>
      </c>
      <c r="G112" s="545">
        <f t="shared" si="98"/>
        <v>90</v>
      </c>
      <c r="H112" s="563">
        <v>12</v>
      </c>
      <c r="I112" s="546">
        <v>8</v>
      </c>
      <c r="J112" s="545">
        <f t="shared" si="99"/>
        <v>20</v>
      </c>
      <c r="K112" s="545">
        <f t="shared" si="100"/>
        <v>18</v>
      </c>
      <c r="L112" s="545">
        <f t="shared" si="101"/>
        <v>5.4</v>
      </c>
      <c r="M112" s="545">
        <f t="shared" si="102"/>
        <v>23.4</v>
      </c>
      <c r="N112" s="547">
        <f t="shared" si="103"/>
        <v>23466.995999999999</v>
      </c>
      <c r="O112" s="545">
        <f t="shared" si="104"/>
        <v>113.39999999999999</v>
      </c>
      <c r="P112" s="418"/>
      <c r="Q112" s="355"/>
      <c r="R112" s="355"/>
      <c r="S112" s="355"/>
      <c r="T112" s="145"/>
      <c r="U112" s="145"/>
    </row>
    <row r="113" spans="1:35" s="6" customFormat="1" ht="18.75" customHeight="1" x14ac:dyDescent="0.15">
      <c r="A113" s="573" t="s">
        <v>954</v>
      </c>
      <c r="B113" s="576" t="s">
        <v>350</v>
      </c>
      <c r="C113" s="572">
        <f>+SUM(C111:C112)*2%</f>
        <v>8.9068000000000005</v>
      </c>
      <c r="D113" s="575" t="s">
        <v>298</v>
      </c>
      <c r="E113" s="572">
        <v>100</v>
      </c>
      <c r="F113" s="569">
        <v>8</v>
      </c>
      <c r="G113" s="545">
        <f t="shared" si="98"/>
        <v>108</v>
      </c>
      <c r="H113" s="563">
        <v>12</v>
      </c>
      <c r="I113" s="546">
        <v>8</v>
      </c>
      <c r="J113" s="545">
        <f t="shared" si="99"/>
        <v>20</v>
      </c>
      <c r="K113" s="545">
        <f t="shared" si="100"/>
        <v>21.6</v>
      </c>
      <c r="L113" s="545">
        <f t="shared" si="101"/>
        <v>6.48</v>
      </c>
      <c r="M113" s="545">
        <f t="shared" si="102"/>
        <v>28.080000000000002</v>
      </c>
      <c r="N113" s="547">
        <f t="shared" si="103"/>
        <v>1212.0373440000001</v>
      </c>
      <c r="O113" s="545">
        <f t="shared" si="104"/>
        <v>136.08000000000001</v>
      </c>
      <c r="P113" s="418"/>
      <c r="Q113" s="355"/>
      <c r="R113" s="355"/>
      <c r="S113" s="355"/>
      <c r="T113" s="145"/>
      <c r="U113" s="145"/>
    </row>
    <row r="114" spans="1:35" s="2" customFormat="1" ht="22" x14ac:dyDescent="0.25">
      <c r="A114" s="570" t="s">
        <v>1474</v>
      </c>
      <c r="B114" s="577" t="str">
        <f>B88</f>
        <v>HILTI-RE 500 V3 ADHESIVE</v>
      </c>
      <c r="C114" s="572">
        <v>1</v>
      </c>
      <c r="D114" s="575" t="s">
        <v>5</v>
      </c>
      <c r="E114" s="578">
        <f>4664.745+15000</f>
        <v>19664.744999999999</v>
      </c>
      <c r="F114" s="578">
        <f>E114*0.35</f>
        <v>6882.6607499999991</v>
      </c>
      <c r="G114" s="545">
        <f t="shared" si="98"/>
        <v>26547.405749999998</v>
      </c>
      <c r="H114" s="545">
        <v>5</v>
      </c>
      <c r="I114" s="546">
        <v>10</v>
      </c>
      <c r="J114" s="545">
        <f t="shared" si="99"/>
        <v>15</v>
      </c>
      <c r="K114" s="545">
        <f t="shared" si="100"/>
        <v>3982.1108624999997</v>
      </c>
      <c r="L114" s="545">
        <f t="shared" si="101"/>
        <v>1526.4758306249998</v>
      </c>
      <c r="M114" s="545">
        <f t="shared" si="102"/>
        <v>5508.5866931249993</v>
      </c>
      <c r="N114" s="547">
        <f t="shared" si="103"/>
        <v>32055.992443124996</v>
      </c>
      <c r="O114" s="545">
        <f t="shared" si="104"/>
        <v>32055.992443124996</v>
      </c>
      <c r="P114" s="418"/>
      <c r="Q114" s="406"/>
      <c r="R114" s="406"/>
      <c r="S114" s="406"/>
      <c r="T114" s="420"/>
      <c r="U114" s="420"/>
    </row>
    <row r="115" spans="1:35" s="310" customFormat="1" ht="18.75" customHeight="1" outlineLevel="2" x14ac:dyDescent="0.25">
      <c r="A115" s="570" t="s">
        <v>1475</v>
      </c>
      <c r="B115" s="577" t="s">
        <v>349</v>
      </c>
      <c r="C115" s="572">
        <v>1</v>
      </c>
      <c r="D115" s="575" t="s">
        <v>5</v>
      </c>
      <c r="E115" s="579">
        <v>5000</v>
      </c>
      <c r="F115" s="580">
        <f>+E115*0.25</f>
        <v>1250</v>
      </c>
      <c r="G115" s="545">
        <f t="shared" si="98"/>
        <v>6250</v>
      </c>
      <c r="H115" s="563">
        <v>12</v>
      </c>
      <c r="I115" s="546">
        <v>8</v>
      </c>
      <c r="J115" s="545">
        <f t="shared" si="99"/>
        <v>20</v>
      </c>
      <c r="K115" s="545">
        <f t="shared" si="100"/>
        <v>1250</v>
      </c>
      <c r="L115" s="545">
        <f t="shared" si="101"/>
        <v>375</v>
      </c>
      <c r="M115" s="545">
        <f t="shared" si="102"/>
        <v>1625</v>
      </c>
      <c r="N115" s="547">
        <f t="shared" si="103"/>
        <v>7875</v>
      </c>
      <c r="O115" s="545">
        <f t="shared" si="104"/>
        <v>7875</v>
      </c>
      <c r="P115" s="2"/>
      <c r="Q115" s="355"/>
      <c r="R115" s="355"/>
      <c r="S115" s="355"/>
      <c r="T115" s="309"/>
      <c r="U115" s="309"/>
      <c r="V115" s="171"/>
      <c r="W115" s="171"/>
      <c r="X115" s="171"/>
      <c r="Y115" s="171"/>
      <c r="Z115" s="171"/>
      <c r="AA115" s="171"/>
      <c r="AB115" s="171"/>
      <c r="AC115" s="171"/>
      <c r="AD115" s="171"/>
      <c r="AE115" s="171"/>
      <c r="AF115" s="171"/>
      <c r="AG115" s="171"/>
      <c r="AH115" s="171"/>
      <c r="AI115" s="378"/>
    </row>
    <row r="116" spans="1:35" s="6" customFormat="1" ht="17.25" customHeight="1" x14ac:dyDescent="0.2">
      <c r="A116" s="570"/>
      <c r="B116" s="577"/>
      <c r="C116" s="572"/>
      <c r="D116" s="575"/>
      <c r="E116" s="572"/>
      <c r="F116" s="578"/>
      <c r="G116" s="545"/>
      <c r="H116" s="545"/>
      <c r="I116" s="547"/>
      <c r="J116" s="545"/>
      <c r="K116" s="545"/>
      <c r="L116" s="545"/>
      <c r="M116" s="554" t="s">
        <v>343</v>
      </c>
      <c r="N116" s="555">
        <f>SUM(N109:N115)</f>
        <v>122365.27578712501</v>
      </c>
      <c r="O116" s="586"/>
      <c r="P116" s="370">
        <f>N116</f>
        <v>122365.27578712501</v>
      </c>
      <c r="Q116" s="355"/>
      <c r="R116" s="355"/>
      <c r="S116" s="355"/>
      <c r="T116" s="145"/>
      <c r="U116" s="145"/>
    </row>
    <row r="117" spans="1:35" s="6" customFormat="1" ht="17.25" customHeight="1" x14ac:dyDescent="0.25">
      <c r="A117" s="591">
        <f>+A108+0.1</f>
        <v>3.7000000000000006</v>
      </c>
      <c r="B117" s="583" t="s">
        <v>1502</v>
      </c>
      <c r="C117" s="569"/>
      <c r="D117" s="524"/>
      <c r="E117" s="569"/>
      <c r="F117" s="569"/>
      <c r="G117" s="569"/>
      <c r="H117" s="569"/>
      <c r="I117" s="569"/>
      <c r="J117" s="569"/>
      <c r="K117" s="569"/>
      <c r="L117" s="569"/>
      <c r="M117" s="546"/>
      <c r="N117" s="546"/>
      <c r="O117" s="569"/>
      <c r="P117" s="419"/>
      <c r="Q117" s="355"/>
      <c r="R117" s="355"/>
      <c r="S117" s="355"/>
      <c r="T117" s="145"/>
      <c r="U117" s="145"/>
    </row>
    <row r="118" spans="1:35" s="6" customFormat="1" ht="17.25" customHeight="1" x14ac:dyDescent="0.15">
      <c r="A118" s="570" t="s">
        <v>965</v>
      </c>
      <c r="B118" s="571" t="s">
        <v>417</v>
      </c>
      <c r="C118" s="545">
        <v>7.42</v>
      </c>
      <c r="D118" s="524" t="s">
        <v>637</v>
      </c>
      <c r="E118" s="572">
        <v>0</v>
      </c>
      <c r="F118" s="545">
        <v>200</v>
      </c>
      <c r="G118" s="545">
        <f>F118</f>
        <v>200</v>
      </c>
      <c r="H118" s="563">
        <v>12</v>
      </c>
      <c r="I118" s="546">
        <v>8</v>
      </c>
      <c r="J118" s="545">
        <f t="shared" ref="J118:J119" si="105">H118+I118</f>
        <v>20</v>
      </c>
      <c r="K118" s="545">
        <f t="shared" ref="K118:K119" si="106">J118%*G118</f>
        <v>40</v>
      </c>
      <c r="L118" s="545">
        <f t="shared" ref="L118:L119" si="107">5%*((G118)+(K118))</f>
        <v>12</v>
      </c>
      <c r="M118" s="545">
        <f t="shared" ref="M118:M119" si="108">K118+L118</f>
        <v>52</v>
      </c>
      <c r="N118" s="547">
        <f t="shared" ref="N118:N119" si="109">(+M118+G118)*C118</f>
        <v>1869.84</v>
      </c>
      <c r="O118" s="545">
        <f t="shared" ref="O118:O119" si="110">N118/C118</f>
        <v>252</v>
      </c>
      <c r="P118" s="375"/>
      <c r="Q118" s="355"/>
      <c r="R118" s="355"/>
      <c r="S118" s="355"/>
      <c r="T118" s="145"/>
      <c r="U118" s="145"/>
    </row>
    <row r="119" spans="1:35" s="6" customFormat="1" ht="17.25" customHeight="1" x14ac:dyDescent="0.15">
      <c r="A119" s="570" t="s">
        <v>966</v>
      </c>
      <c r="B119" s="571" t="s">
        <v>412</v>
      </c>
      <c r="C119" s="545">
        <f>1.1*(0.375+0.332+0.11+1.4)</f>
        <v>2.4387000000000003</v>
      </c>
      <c r="D119" s="524" t="s">
        <v>637</v>
      </c>
      <c r="E119" s="572">
        <f>E60</f>
        <v>4500</v>
      </c>
      <c r="F119" s="545">
        <f>F60</f>
        <v>1000</v>
      </c>
      <c r="G119" s="545">
        <f t="shared" ref="G119" si="111">E119+F119</f>
        <v>5500</v>
      </c>
      <c r="H119" s="563">
        <v>12</v>
      </c>
      <c r="I119" s="546">
        <v>8</v>
      </c>
      <c r="J119" s="545">
        <f t="shared" si="105"/>
        <v>20</v>
      </c>
      <c r="K119" s="545">
        <f t="shared" si="106"/>
        <v>1100</v>
      </c>
      <c r="L119" s="545">
        <f t="shared" si="107"/>
        <v>330</v>
      </c>
      <c r="M119" s="545">
        <f t="shared" si="108"/>
        <v>1430</v>
      </c>
      <c r="N119" s="547">
        <f t="shared" si="109"/>
        <v>16900.191000000003</v>
      </c>
      <c r="O119" s="545">
        <f t="shared" si="110"/>
        <v>6930</v>
      </c>
      <c r="P119" s="418"/>
      <c r="Q119" s="355"/>
      <c r="R119" s="355"/>
      <c r="S119" s="355"/>
      <c r="T119" s="145"/>
      <c r="U119" s="145"/>
    </row>
    <row r="120" spans="1:35" s="6" customFormat="1" ht="17.25" customHeight="1" x14ac:dyDescent="0.15">
      <c r="A120" s="570" t="s">
        <v>970</v>
      </c>
      <c r="B120" s="571" t="s">
        <v>413</v>
      </c>
      <c r="C120" s="545"/>
      <c r="D120" s="524"/>
      <c r="E120" s="572"/>
      <c r="F120" s="545"/>
      <c r="G120" s="545"/>
      <c r="H120" s="545"/>
      <c r="I120" s="545"/>
      <c r="J120" s="545"/>
      <c r="K120" s="545"/>
      <c r="L120" s="545"/>
      <c r="M120" s="545"/>
      <c r="N120" s="545"/>
      <c r="O120" s="545"/>
      <c r="P120" s="418"/>
      <c r="Q120" s="355"/>
      <c r="R120" s="355"/>
      <c r="S120" s="355"/>
      <c r="T120" s="145"/>
      <c r="U120" s="145"/>
    </row>
    <row r="121" spans="1:35" s="6" customFormat="1" ht="17.25" customHeight="1" x14ac:dyDescent="0.15">
      <c r="A121" s="573" t="s">
        <v>1180</v>
      </c>
      <c r="B121" s="574" t="s">
        <v>928</v>
      </c>
      <c r="C121" s="572">
        <v>47.95</v>
      </c>
      <c r="D121" s="575" t="s">
        <v>298</v>
      </c>
      <c r="E121" s="572">
        <f>E62</f>
        <v>80</v>
      </c>
      <c r="F121" s="569">
        <f>F62</f>
        <v>10</v>
      </c>
      <c r="G121" s="545">
        <f t="shared" ref="G121:G124" si="112">E121+F121</f>
        <v>90</v>
      </c>
      <c r="H121" s="563">
        <v>12</v>
      </c>
      <c r="I121" s="546">
        <v>8</v>
      </c>
      <c r="J121" s="545">
        <f t="shared" ref="J121:J124" si="113">H121+I121</f>
        <v>20</v>
      </c>
      <c r="K121" s="545">
        <f t="shared" ref="K121:K124" si="114">J121%*G121</f>
        <v>18</v>
      </c>
      <c r="L121" s="545">
        <f t="shared" ref="L121:L124" si="115">5%*((G121)+(K121))</f>
        <v>5.4</v>
      </c>
      <c r="M121" s="545">
        <f t="shared" ref="M121:M124" si="116">K121+L121</f>
        <v>23.4</v>
      </c>
      <c r="N121" s="547">
        <f t="shared" ref="N121:N124" si="117">(+M121+G121)*C121</f>
        <v>5437.5300000000007</v>
      </c>
      <c r="O121" s="545">
        <f t="shared" ref="O121:O124" si="118">N121/C121</f>
        <v>113.4</v>
      </c>
      <c r="P121" s="418"/>
      <c r="Q121" s="355"/>
      <c r="R121" s="355"/>
      <c r="S121" s="355"/>
      <c r="T121" s="145"/>
      <c r="U121" s="145"/>
    </row>
    <row r="122" spans="1:35" s="2" customFormat="1" ht="21" x14ac:dyDescent="0.25">
      <c r="A122" s="573" t="s">
        <v>1181</v>
      </c>
      <c r="B122" s="574" t="s">
        <v>929</v>
      </c>
      <c r="C122" s="572">
        <v>29.6</v>
      </c>
      <c r="D122" s="575" t="s">
        <v>298</v>
      </c>
      <c r="E122" s="572">
        <f>E62</f>
        <v>80</v>
      </c>
      <c r="F122" s="569">
        <f>F62</f>
        <v>10</v>
      </c>
      <c r="G122" s="545">
        <f t="shared" si="112"/>
        <v>90</v>
      </c>
      <c r="H122" s="563">
        <v>12</v>
      </c>
      <c r="I122" s="546">
        <v>8</v>
      </c>
      <c r="J122" s="545">
        <f t="shared" si="113"/>
        <v>20</v>
      </c>
      <c r="K122" s="545">
        <f t="shared" si="114"/>
        <v>18</v>
      </c>
      <c r="L122" s="545">
        <f t="shared" si="115"/>
        <v>5.4</v>
      </c>
      <c r="M122" s="545">
        <f t="shared" si="116"/>
        <v>23.4</v>
      </c>
      <c r="N122" s="547">
        <f t="shared" si="117"/>
        <v>3356.6400000000003</v>
      </c>
      <c r="O122" s="545">
        <f t="shared" si="118"/>
        <v>113.4</v>
      </c>
      <c r="P122" s="418"/>
      <c r="Q122" s="355"/>
      <c r="R122" s="355"/>
      <c r="S122" s="355"/>
      <c r="T122" s="420"/>
      <c r="U122" s="420"/>
    </row>
    <row r="123" spans="1:35" s="171" customFormat="1" ht="22" outlineLevel="2" x14ac:dyDescent="0.15">
      <c r="A123" s="573" t="s">
        <v>1182</v>
      </c>
      <c r="B123" s="576" t="s">
        <v>350</v>
      </c>
      <c r="C123" s="572">
        <f>+SUM(C121:C122)*1%</f>
        <v>0.77550000000000008</v>
      </c>
      <c r="D123" s="575" t="s">
        <v>298</v>
      </c>
      <c r="E123" s="572">
        <v>100</v>
      </c>
      <c r="F123" s="569">
        <v>8</v>
      </c>
      <c r="G123" s="545">
        <f t="shared" si="112"/>
        <v>108</v>
      </c>
      <c r="H123" s="563">
        <v>12</v>
      </c>
      <c r="I123" s="546">
        <v>8</v>
      </c>
      <c r="J123" s="545">
        <f t="shared" si="113"/>
        <v>20</v>
      </c>
      <c r="K123" s="545">
        <f t="shared" si="114"/>
        <v>21.6</v>
      </c>
      <c r="L123" s="545">
        <f t="shared" si="115"/>
        <v>6.48</v>
      </c>
      <c r="M123" s="545">
        <f t="shared" si="116"/>
        <v>28.080000000000002</v>
      </c>
      <c r="N123" s="547">
        <f t="shared" si="117"/>
        <v>105.53004000000001</v>
      </c>
      <c r="O123" s="545">
        <f t="shared" si="118"/>
        <v>136.08000000000001</v>
      </c>
      <c r="P123" s="418"/>
      <c r="Q123" s="355"/>
      <c r="R123" s="355"/>
      <c r="S123" s="355"/>
      <c r="T123" s="309"/>
      <c r="U123" s="309"/>
    </row>
    <row r="124" spans="1:35" s="6" customFormat="1" ht="22" x14ac:dyDescent="0.15">
      <c r="A124" s="570" t="s">
        <v>1179</v>
      </c>
      <c r="B124" s="577" t="s">
        <v>349</v>
      </c>
      <c r="C124" s="572">
        <v>1</v>
      </c>
      <c r="D124" s="575" t="s">
        <v>5</v>
      </c>
      <c r="E124" s="579">
        <v>3000</v>
      </c>
      <c r="F124" s="580">
        <f>+E124*0.25</f>
        <v>750</v>
      </c>
      <c r="G124" s="545">
        <f t="shared" si="112"/>
        <v>3750</v>
      </c>
      <c r="H124" s="563">
        <v>12</v>
      </c>
      <c r="I124" s="546">
        <v>8</v>
      </c>
      <c r="J124" s="545">
        <f t="shared" si="113"/>
        <v>20</v>
      </c>
      <c r="K124" s="545">
        <f t="shared" si="114"/>
        <v>750</v>
      </c>
      <c r="L124" s="545">
        <f t="shared" si="115"/>
        <v>225</v>
      </c>
      <c r="M124" s="545">
        <f t="shared" si="116"/>
        <v>975</v>
      </c>
      <c r="N124" s="547">
        <f t="shared" si="117"/>
        <v>4725</v>
      </c>
      <c r="O124" s="545">
        <f t="shared" si="118"/>
        <v>4725</v>
      </c>
      <c r="P124" s="171"/>
      <c r="Q124" s="355"/>
      <c r="R124" s="355"/>
      <c r="S124" s="355"/>
      <c r="T124" s="356"/>
      <c r="U124" s="356"/>
    </row>
    <row r="125" spans="1:35" s="6" customFormat="1" ht="21" x14ac:dyDescent="0.2">
      <c r="A125" s="570"/>
      <c r="B125" s="585"/>
      <c r="C125" s="572"/>
      <c r="D125" s="575"/>
      <c r="E125" s="572"/>
      <c r="F125" s="578"/>
      <c r="G125" s="545"/>
      <c r="H125" s="545"/>
      <c r="I125" s="547"/>
      <c r="J125" s="545"/>
      <c r="K125" s="545"/>
      <c r="L125" s="545"/>
      <c r="M125" s="554" t="s">
        <v>343</v>
      </c>
      <c r="N125" s="555">
        <f>SUM(N118:N124)</f>
        <v>32394.731040000002</v>
      </c>
      <c r="O125" s="586"/>
      <c r="P125" s="370">
        <f>N125</f>
        <v>32394.731040000002</v>
      </c>
      <c r="Q125" s="355"/>
      <c r="R125" s="355"/>
      <c r="S125" s="355"/>
      <c r="T125" s="421"/>
      <c r="U125" s="421"/>
    </row>
    <row r="126" spans="1:35" s="6" customFormat="1" ht="22" x14ac:dyDescent="0.25">
      <c r="A126" s="531">
        <v>4</v>
      </c>
      <c r="B126" s="532" t="s">
        <v>1154</v>
      </c>
      <c r="C126" s="533"/>
      <c r="D126" s="534"/>
      <c r="E126" s="533"/>
      <c r="F126" s="533"/>
      <c r="G126" s="535"/>
      <c r="H126" s="536"/>
      <c r="I126" s="536"/>
      <c r="J126" s="537"/>
      <c r="K126" s="537"/>
      <c r="L126" s="537"/>
      <c r="M126" s="536"/>
      <c r="N126" s="538"/>
      <c r="O126" s="539"/>
      <c r="P126" s="418"/>
      <c r="Q126" s="355"/>
      <c r="R126" s="355"/>
      <c r="S126" s="355"/>
      <c r="T126" s="421"/>
      <c r="U126" s="421"/>
    </row>
    <row r="127" spans="1:35" s="6" customFormat="1" ht="17.25" customHeight="1" x14ac:dyDescent="0.15">
      <c r="A127" s="591">
        <v>4.0999999999999996</v>
      </c>
      <c r="B127" s="583" t="s">
        <v>894</v>
      </c>
      <c r="C127" s="569"/>
      <c r="D127" s="524"/>
      <c r="E127" s="569"/>
      <c r="F127" s="569"/>
      <c r="G127" s="569"/>
      <c r="H127" s="569"/>
      <c r="I127" s="569"/>
      <c r="J127" s="569"/>
      <c r="K127" s="569"/>
      <c r="L127" s="569"/>
      <c r="M127" s="546"/>
      <c r="N127" s="546"/>
      <c r="O127" s="569"/>
      <c r="P127" s="357"/>
      <c r="Q127" s="355"/>
      <c r="R127" s="355"/>
      <c r="S127" s="355"/>
      <c r="T127" s="421"/>
      <c r="U127" s="421"/>
    </row>
    <row r="128" spans="1:35" s="6" customFormat="1" ht="17.25" customHeight="1" x14ac:dyDescent="0.15">
      <c r="A128" s="570" t="s">
        <v>1117</v>
      </c>
      <c r="B128" s="592" t="s">
        <v>1153</v>
      </c>
      <c r="C128" s="593">
        <f>780.87*1.1</f>
        <v>858.95700000000011</v>
      </c>
      <c r="D128" s="543" t="s">
        <v>892</v>
      </c>
      <c r="E128" s="544">
        <v>450</v>
      </c>
      <c r="F128" s="544">
        <v>150</v>
      </c>
      <c r="G128" s="545">
        <f t="shared" ref="G128:G129" si="119">E128+F128</f>
        <v>600</v>
      </c>
      <c r="H128" s="563">
        <v>12</v>
      </c>
      <c r="I128" s="546">
        <v>8</v>
      </c>
      <c r="J128" s="545">
        <f t="shared" ref="J128:J129" si="120">H128+I128</f>
        <v>20</v>
      </c>
      <c r="K128" s="545">
        <f t="shared" ref="K128:K129" si="121">J128%*G128</f>
        <v>120</v>
      </c>
      <c r="L128" s="545">
        <f t="shared" ref="L128:L129" si="122">5%*((G128)+(K128))</f>
        <v>36</v>
      </c>
      <c r="M128" s="545">
        <f t="shared" ref="M128:M129" si="123">K128+L128</f>
        <v>156</v>
      </c>
      <c r="N128" s="547">
        <f t="shared" ref="N128:N129" si="124">(+M128+G128)*C128</f>
        <v>649371.49200000009</v>
      </c>
      <c r="O128" s="545">
        <f t="shared" ref="O128:O129" si="125">N128/C128</f>
        <v>756</v>
      </c>
      <c r="P128" s="375"/>
      <c r="Q128" s="355"/>
      <c r="R128" s="355"/>
      <c r="S128" s="355"/>
      <c r="T128" s="421"/>
      <c r="U128" s="421"/>
    </row>
    <row r="129" spans="1:35" s="6" customFormat="1" ht="44" x14ac:dyDescent="0.15">
      <c r="A129" s="570" t="s">
        <v>1118</v>
      </c>
      <c r="B129" s="592" t="s">
        <v>1192</v>
      </c>
      <c r="C129" s="593">
        <f>19.975*1.1</f>
        <v>21.972500000000004</v>
      </c>
      <c r="D129" s="543" t="s">
        <v>892</v>
      </c>
      <c r="E129" s="544">
        <v>500</v>
      </c>
      <c r="F129" s="544">
        <v>150</v>
      </c>
      <c r="G129" s="545">
        <f t="shared" si="119"/>
        <v>650</v>
      </c>
      <c r="H129" s="563">
        <v>12</v>
      </c>
      <c r="I129" s="546">
        <v>8</v>
      </c>
      <c r="J129" s="545">
        <f t="shared" si="120"/>
        <v>20</v>
      </c>
      <c r="K129" s="545">
        <f t="shared" si="121"/>
        <v>130</v>
      </c>
      <c r="L129" s="545">
        <f t="shared" si="122"/>
        <v>39</v>
      </c>
      <c r="M129" s="545">
        <f t="shared" si="123"/>
        <v>169</v>
      </c>
      <c r="N129" s="547">
        <f t="shared" si="124"/>
        <v>17995.477500000005</v>
      </c>
      <c r="O129" s="545">
        <f t="shared" si="125"/>
        <v>819.00000000000011</v>
      </c>
      <c r="P129" s="418"/>
      <c r="Q129" s="355"/>
      <c r="R129" s="355"/>
      <c r="S129" s="355"/>
      <c r="T129" s="421"/>
      <c r="U129" s="421"/>
    </row>
    <row r="130" spans="1:35" s="6" customFormat="1" ht="21" customHeight="1" x14ac:dyDescent="0.2">
      <c r="A130" s="594"/>
      <c r="B130" s="595"/>
      <c r="C130" s="596"/>
      <c r="D130" s="575"/>
      <c r="E130" s="596"/>
      <c r="F130" s="569"/>
      <c r="G130" s="597"/>
      <c r="H130" s="563"/>
      <c r="I130" s="546"/>
      <c r="J130" s="597"/>
      <c r="K130" s="597"/>
      <c r="L130" s="597"/>
      <c r="M130" s="554" t="s">
        <v>343</v>
      </c>
      <c r="N130" s="555">
        <f>N128+N129</f>
        <v>667366.96950000012</v>
      </c>
      <c r="O130" s="569"/>
      <c r="P130" s="370">
        <f>N130</f>
        <v>667366.96950000012</v>
      </c>
      <c r="Q130" s="355"/>
      <c r="R130" s="355"/>
      <c r="S130" s="355"/>
      <c r="T130" s="421"/>
      <c r="U130" s="421"/>
    </row>
    <row r="131" spans="1:35" s="6" customFormat="1" ht="22" x14ac:dyDescent="0.15">
      <c r="A131" s="591">
        <v>4.2</v>
      </c>
      <c r="B131" s="583" t="s">
        <v>895</v>
      </c>
      <c r="C131" s="569"/>
      <c r="D131" s="524"/>
      <c r="E131" s="569"/>
      <c r="F131" s="569"/>
      <c r="G131" s="569"/>
      <c r="H131" s="563"/>
      <c r="I131" s="546"/>
      <c r="J131" s="569"/>
      <c r="K131" s="569"/>
      <c r="L131" s="569"/>
      <c r="M131" s="546"/>
      <c r="N131" s="546"/>
      <c r="O131" s="569"/>
      <c r="P131" s="418"/>
      <c r="Q131" s="355"/>
      <c r="R131" s="355"/>
      <c r="S131" s="355"/>
      <c r="T131" s="421"/>
      <c r="U131" s="421"/>
    </row>
    <row r="132" spans="1:35" s="310" customFormat="1" ht="22" outlineLevel="2" x14ac:dyDescent="0.15">
      <c r="A132" s="570" t="s">
        <v>1119</v>
      </c>
      <c r="B132" s="598" t="s">
        <v>1503</v>
      </c>
      <c r="C132" s="596">
        <f>(C129+C128)*2</f>
        <v>1761.8590000000002</v>
      </c>
      <c r="D132" s="543" t="s">
        <v>892</v>
      </c>
      <c r="E132" s="544">
        <v>150</v>
      </c>
      <c r="F132" s="544">
        <v>200</v>
      </c>
      <c r="G132" s="545">
        <f t="shared" ref="G132" si="126">E132+F132</f>
        <v>350</v>
      </c>
      <c r="H132" s="563">
        <v>12</v>
      </c>
      <c r="I132" s="546">
        <v>8</v>
      </c>
      <c r="J132" s="545">
        <f t="shared" ref="J132" si="127">H132+I132</f>
        <v>20</v>
      </c>
      <c r="K132" s="545">
        <f t="shared" ref="K132" si="128">J132%*G132</f>
        <v>70</v>
      </c>
      <c r="L132" s="545">
        <f t="shared" ref="L132" si="129">5%*((G132)+(K132))</f>
        <v>21</v>
      </c>
      <c r="M132" s="545">
        <f t="shared" ref="M132" si="130">K132+L132</f>
        <v>91</v>
      </c>
      <c r="N132" s="547">
        <f t="shared" ref="N132" si="131">(+M132+G132)*C132</f>
        <v>776979.81900000002</v>
      </c>
      <c r="O132" s="545">
        <f t="shared" ref="O132" si="132">N132/C132</f>
        <v>441</v>
      </c>
      <c r="P132" s="418"/>
      <c r="Q132" s="355"/>
      <c r="R132" s="355"/>
      <c r="S132" s="355"/>
      <c r="T132" s="309"/>
      <c r="U132" s="309"/>
      <c r="V132" s="171"/>
      <c r="W132" s="171"/>
      <c r="X132" s="171"/>
      <c r="Y132" s="171"/>
      <c r="Z132" s="171"/>
      <c r="AA132" s="171"/>
      <c r="AB132" s="171"/>
      <c r="AC132" s="171"/>
      <c r="AD132" s="171"/>
      <c r="AE132" s="171"/>
      <c r="AF132" s="171"/>
      <c r="AG132" s="171"/>
      <c r="AH132" s="171"/>
      <c r="AI132" s="378"/>
    </row>
    <row r="133" spans="1:35" s="6" customFormat="1" ht="21" x14ac:dyDescent="0.2">
      <c r="A133" s="594"/>
      <c r="B133" s="595"/>
      <c r="C133" s="596"/>
      <c r="D133" s="575"/>
      <c r="E133" s="596"/>
      <c r="F133" s="569"/>
      <c r="G133" s="597"/>
      <c r="H133" s="597"/>
      <c r="I133" s="597"/>
      <c r="J133" s="597"/>
      <c r="K133" s="597"/>
      <c r="L133" s="597"/>
      <c r="M133" s="554" t="s">
        <v>343</v>
      </c>
      <c r="N133" s="555">
        <f>N132</f>
        <v>776979.81900000002</v>
      </c>
      <c r="O133" s="569"/>
      <c r="P133" s="370">
        <f>N133</f>
        <v>776979.81900000002</v>
      </c>
      <c r="Q133" s="355"/>
      <c r="R133" s="355"/>
      <c r="S133" s="355"/>
      <c r="T133" s="356"/>
      <c r="U133" s="356"/>
    </row>
    <row r="134" spans="1:35" s="6" customFormat="1" ht="42" customHeight="1" x14ac:dyDescent="0.15">
      <c r="A134" s="591">
        <v>4.3</v>
      </c>
      <c r="B134" s="583" t="s">
        <v>743</v>
      </c>
      <c r="C134" s="569"/>
      <c r="D134" s="524"/>
      <c r="E134" s="569"/>
      <c r="F134" s="569"/>
      <c r="G134" s="569"/>
      <c r="H134" s="569"/>
      <c r="I134" s="569"/>
      <c r="J134" s="569"/>
      <c r="K134" s="569"/>
      <c r="L134" s="569"/>
      <c r="M134" s="546"/>
      <c r="N134" s="546"/>
      <c r="O134" s="569"/>
      <c r="P134" s="418"/>
      <c r="Q134" s="355"/>
      <c r="R134" s="355"/>
      <c r="S134" s="355"/>
      <c r="T134" s="421"/>
      <c r="U134" s="421"/>
    </row>
    <row r="135" spans="1:35" s="6" customFormat="1" ht="36" customHeight="1" x14ac:dyDescent="0.15">
      <c r="A135" s="599" t="s">
        <v>1141</v>
      </c>
      <c r="B135" s="566" t="s">
        <v>1184</v>
      </c>
      <c r="C135" s="544">
        <f>77.85*1.1</f>
        <v>85.635000000000005</v>
      </c>
      <c r="D135" s="543" t="s">
        <v>892</v>
      </c>
      <c r="E135" s="569">
        <v>600</v>
      </c>
      <c r="F135" s="569">
        <v>200</v>
      </c>
      <c r="G135" s="569">
        <f t="shared" ref="G135:G140" si="133">E135+F135</f>
        <v>800</v>
      </c>
      <c r="H135" s="563">
        <v>12</v>
      </c>
      <c r="I135" s="546">
        <v>8</v>
      </c>
      <c r="J135" s="545">
        <f t="shared" ref="J135:J140" si="134">H135+I135</f>
        <v>20</v>
      </c>
      <c r="K135" s="569">
        <f t="shared" ref="K135:K140" si="135">J135%*G135</f>
        <v>160</v>
      </c>
      <c r="L135" s="569">
        <f t="shared" ref="L135:L140" si="136">5%*((G135)+(K135))</f>
        <v>48</v>
      </c>
      <c r="M135" s="569">
        <f t="shared" ref="M135:M140" si="137">ROUND((K135+L135),2)</f>
        <v>208</v>
      </c>
      <c r="N135" s="569">
        <f t="shared" ref="N135:N140" si="138">ROUND(C135*(G135+M135),2)</f>
        <v>86320.08</v>
      </c>
      <c r="O135" s="569">
        <f t="shared" ref="O135:O140" si="139">N135/C135</f>
        <v>1008</v>
      </c>
      <c r="P135" s="418"/>
      <c r="Q135" s="355"/>
      <c r="R135" s="355"/>
      <c r="S135" s="355"/>
      <c r="T135" s="421"/>
      <c r="U135" s="421"/>
    </row>
    <row r="136" spans="1:35" s="310" customFormat="1" ht="40.5" hidden="1" customHeight="1" outlineLevel="2" x14ac:dyDescent="0.15">
      <c r="A136" s="599" t="s">
        <v>1142</v>
      </c>
      <c r="B136" s="566" t="s">
        <v>1517</v>
      </c>
      <c r="C136" s="544">
        <f>154.58*1.1</f>
        <v>170.03800000000004</v>
      </c>
      <c r="D136" s="543" t="s">
        <v>892</v>
      </c>
      <c r="E136" s="569">
        <v>600</v>
      </c>
      <c r="F136" s="569">
        <v>200</v>
      </c>
      <c r="G136" s="569">
        <f t="shared" si="133"/>
        <v>800</v>
      </c>
      <c r="H136" s="563">
        <v>12</v>
      </c>
      <c r="I136" s="546">
        <v>8</v>
      </c>
      <c r="J136" s="545">
        <f t="shared" si="134"/>
        <v>20</v>
      </c>
      <c r="K136" s="569">
        <f t="shared" si="135"/>
        <v>160</v>
      </c>
      <c r="L136" s="569">
        <f t="shared" si="136"/>
        <v>48</v>
      </c>
      <c r="M136" s="569">
        <f t="shared" si="137"/>
        <v>208</v>
      </c>
      <c r="N136" s="569">
        <f t="shared" si="138"/>
        <v>171398.3</v>
      </c>
      <c r="O136" s="569">
        <f t="shared" si="139"/>
        <v>1007.9999764758463</v>
      </c>
      <c r="P136" s="357"/>
      <c r="Q136" s="355"/>
      <c r="R136" s="355"/>
      <c r="S136" s="355"/>
      <c r="T136" s="309"/>
      <c r="U136" s="309"/>
      <c r="V136" s="171"/>
      <c r="W136" s="171"/>
      <c r="X136" s="171"/>
      <c r="Y136" s="171"/>
      <c r="Z136" s="171"/>
      <c r="AA136" s="171"/>
      <c r="AB136" s="171"/>
      <c r="AC136" s="171"/>
      <c r="AD136" s="171"/>
      <c r="AE136" s="171"/>
      <c r="AF136" s="171"/>
      <c r="AG136" s="171"/>
      <c r="AH136" s="171"/>
      <c r="AI136" s="378"/>
    </row>
    <row r="137" spans="1:35" ht="44" collapsed="1" x14ac:dyDescent="0.2">
      <c r="A137" s="599" t="s">
        <v>1143</v>
      </c>
      <c r="B137" s="566" t="s">
        <v>1185</v>
      </c>
      <c r="C137" s="544">
        <f>23.5*1.1</f>
        <v>25.85</v>
      </c>
      <c r="D137" s="543" t="s">
        <v>892</v>
      </c>
      <c r="E137" s="569">
        <v>450</v>
      </c>
      <c r="F137" s="569">
        <v>200</v>
      </c>
      <c r="G137" s="569">
        <f t="shared" si="133"/>
        <v>650</v>
      </c>
      <c r="H137" s="563">
        <v>12</v>
      </c>
      <c r="I137" s="546">
        <v>8</v>
      </c>
      <c r="J137" s="569">
        <f t="shared" si="134"/>
        <v>20</v>
      </c>
      <c r="K137" s="569">
        <f t="shared" si="135"/>
        <v>130</v>
      </c>
      <c r="L137" s="569">
        <f t="shared" si="136"/>
        <v>39</v>
      </c>
      <c r="M137" s="569">
        <f t="shared" si="137"/>
        <v>169</v>
      </c>
      <c r="N137" s="569">
        <f t="shared" si="138"/>
        <v>21171.15</v>
      </c>
      <c r="O137" s="569">
        <f t="shared" si="139"/>
        <v>819</v>
      </c>
      <c r="P137" s="375"/>
      <c r="Q137" s="357"/>
      <c r="R137" s="357"/>
      <c r="S137" s="357"/>
    </row>
    <row r="138" spans="1:35" ht="44" x14ac:dyDescent="0.2">
      <c r="A138" s="599" t="s">
        <v>1144</v>
      </c>
      <c r="B138" s="566" t="s">
        <v>1186</v>
      </c>
      <c r="C138" s="544">
        <f>25.1*1.1</f>
        <v>27.610000000000003</v>
      </c>
      <c r="D138" s="543" t="s">
        <v>892</v>
      </c>
      <c r="E138" s="569">
        <v>800</v>
      </c>
      <c r="F138" s="569">
        <v>200</v>
      </c>
      <c r="G138" s="569">
        <f t="shared" si="133"/>
        <v>1000</v>
      </c>
      <c r="H138" s="563">
        <v>12</v>
      </c>
      <c r="I138" s="546">
        <v>8</v>
      </c>
      <c r="J138" s="569">
        <f t="shared" si="134"/>
        <v>20</v>
      </c>
      <c r="K138" s="569">
        <f t="shared" si="135"/>
        <v>200</v>
      </c>
      <c r="L138" s="569">
        <f t="shared" si="136"/>
        <v>60</v>
      </c>
      <c r="M138" s="569">
        <f t="shared" si="137"/>
        <v>260</v>
      </c>
      <c r="N138" s="569">
        <f t="shared" si="138"/>
        <v>34788.6</v>
      </c>
      <c r="O138" s="569">
        <f t="shared" si="139"/>
        <v>1259.9999999999998</v>
      </c>
      <c r="P138" s="418"/>
    </row>
    <row r="139" spans="1:35" ht="44" x14ac:dyDescent="0.2">
      <c r="A139" s="599" t="s">
        <v>1145</v>
      </c>
      <c r="B139" s="566" t="s">
        <v>1187</v>
      </c>
      <c r="C139" s="544">
        <f>27.75*1.1</f>
        <v>30.525000000000002</v>
      </c>
      <c r="D139" s="543" t="s">
        <v>892</v>
      </c>
      <c r="E139" s="569">
        <v>800</v>
      </c>
      <c r="F139" s="569">
        <v>200</v>
      </c>
      <c r="G139" s="569">
        <f t="shared" si="133"/>
        <v>1000</v>
      </c>
      <c r="H139" s="563">
        <v>12</v>
      </c>
      <c r="I139" s="546">
        <v>8</v>
      </c>
      <c r="J139" s="569">
        <f t="shared" si="134"/>
        <v>20</v>
      </c>
      <c r="K139" s="569">
        <f t="shared" si="135"/>
        <v>200</v>
      </c>
      <c r="L139" s="569">
        <f t="shared" si="136"/>
        <v>60</v>
      </c>
      <c r="M139" s="569">
        <f t="shared" si="137"/>
        <v>260</v>
      </c>
      <c r="N139" s="569">
        <f t="shared" si="138"/>
        <v>38461.5</v>
      </c>
      <c r="O139" s="569">
        <f t="shared" si="139"/>
        <v>1260</v>
      </c>
      <c r="P139" s="418"/>
      <c r="Q139" s="370"/>
      <c r="R139" s="370"/>
      <c r="S139" s="370"/>
    </row>
    <row r="140" spans="1:35" ht="44" x14ac:dyDescent="0.2">
      <c r="A140" s="599" t="s">
        <v>1146</v>
      </c>
      <c r="B140" s="566" t="s">
        <v>1188</v>
      </c>
      <c r="C140" s="544">
        <f>53.48*1.2</f>
        <v>64.175999999999988</v>
      </c>
      <c r="D140" s="543" t="s">
        <v>892</v>
      </c>
      <c r="E140" s="569">
        <v>700</v>
      </c>
      <c r="F140" s="569">
        <v>200</v>
      </c>
      <c r="G140" s="569">
        <f t="shared" si="133"/>
        <v>900</v>
      </c>
      <c r="H140" s="563">
        <v>12</v>
      </c>
      <c r="I140" s="546">
        <v>8</v>
      </c>
      <c r="J140" s="569">
        <f t="shared" si="134"/>
        <v>20</v>
      </c>
      <c r="K140" s="569">
        <f t="shared" si="135"/>
        <v>180</v>
      </c>
      <c r="L140" s="569">
        <f t="shared" si="136"/>
        <v>54</v>
      </c>
      <c r="M140" s="569">
        <f t="shared" si="137"/>
        <v>234</v>
      </c>
      <c r="N140" s="569">
        <f t="shared" si="138"/>
        <v>72775.58</v>
      </c>
      <c r="O140" s="569">
        <f t="shared" si="139"/>
        <v>1133.9999376714038</v>
      </c>
      <c r="P140" s="357"/>
      <c r="Q140" s="370"/>
      <c r="R140" s="370"/>
      <c r="S140" s="370"/>
    </row>
    <row r="141" spans="1:35" ht="21" x14ac:dyDescent="0.25">
      <c r="A141" s="549"/>
      <c r="B141" s="566"/>
      <c r="C141" s="544"/>
      <c r="D141" s="543"/>
      <c r="E141" s="544"/>
      <c r="F141" s="544"/>
      <c r="G141" s="600"/>
      <c r="H141" s="601"/>
      <c r="I141" s="546"/>
      <c r="J141" s="552"/>
      <c r="K141" s="552"/>
      <c r="L141" s="552"/>
      <c r="M141" s="554" t="s">
        <v>343</v>
      </c>
      <c r="N141" s="555">
        <f>SUM(N135:N140)</f>
        <v>424915.21</v>
      </c>
      <c r="O141" s="430"/>
      <c r="P141" s="370">
        <f>N141</f>
        <v>424915.21</v>
      </c>
    </row>
    <row r="142" spans="1:35" ht="22" x14ac:dyDescent="0.2">
      <c r="A142" s="591">
        <v>4.4000000000000004</v>
      </c>
      <c r="B142" s="583" t="s">
        <v>118</v>
      </c>
      <c r="C142" s="569"/>
      <c r="D142" s="524"/>
      <c r="E142" s="569"/>
      <c r="F142" s="569"/>
      <c r="G142" s="569"/>
      <c r="H142" s="569"/>
      <c r="I142" s="546"/>
      <c r="J142" s="569"/>
      <c r="K142" s="569"/>
      <c r="L142" s="569"/>
      <c r="M142" s="546"/>
      <c r="N142" s="546"/>
      <c r="O142" s="569"/>
    </row>
    <row r="143" spans="1:35" ht="44" x14ac:dyDescent="0.2">
      <c r="A143" s="599" t="s">
        <v>1147</v>
      </c>
      <c r="B143" s="602" t="s">
        <v>1121</v>
      </c>
      <c r="C143" s="544">
        <v>1513.66</v>
      </c>
      <c r="D143" s="543" t="s">
        <v>892</v>
      </c>
      <c r="E143" s="569">
        <v>150</v>
      </c>
      <c r="F143" s="569">
        <v>150</v>
      </c>
      <c r="G143" s="569">
        <f t="shared" ref="G143:G146" si="140">E143+F143</f>
        <v>300</v>
      </c>
      <c r="H143" s="563">
        <v>12</v>
      </c>
      <c r="I143" s="546">
        <v>8</v>
      </c>
      <c r="J143" s="569">
        <f t="shared" ref="J143:J146" si="141">H143+I143</f>
        <v>20</v>
      </c>
      <c r="K143" s="569">
        <f t="shared" ref="K143:K146" si="142">J143%*G143</f>
        <v>60</v>
      </c>
      <c r="L143" s="569">
        <f t="shared" ref="L143:L146" si="143">5%*((G143)+(K143))</f>
        <v>18</v>
      </c>
      <c r="M143" s="569">
        <f t="shared" ref="M143:M146" si="144">ROUND((K143+L143),2)</f>
        <v>78</v>
      </c>
      <c r="N143" s="569">
        <f t="shared" ref="N143:N146" si="145">ROUND(C143*(G143+M143),2)</f>
        <v>572163.48</v>
      </c>
      <c r="O143" s="569">
        <f t="shared" ref="O143:O146" si="146">N143/C143</f>
        <v>377.99999999999994</v>
      </c>
      <c r="P143" s="402"/>
    </row>
    <row r="144" spans="1:35" ht="44" x14ac:dyDescent="0.2">
      <c r="A144" s="599" t="s">
        <v>1148</v>
      </c>
      <c r="B144" s="602" t="s">
        <v>1122</v>
      </c>
      <c r="C144" s="544">
        <f>(4.98+4+96)*1.1</f>
        <v>115.47800000000001</v>
      </c>
      <c r="D144" s="543" t="s">
        <v>892</v>
      </c>
      <c r="E144" s="569">
        <v>150</v>
      </c>
      <c r="F144" s="569">
        <v>150</v>
      </c>
      <c r="G144" s="569">
        <f t="shared" si="140"/>
        <v>300</v>
      </c>
      <c r="H144" s="563">
        <v>12</v>
      </c>
      <c r="I144" s="546">
        <v>8</v>
      </c>
      <c r="J144" s="569">
        <f t="shared" si="141"/>
        <v>20</v>
      </c>
      <c r="K144" s="569">
        <f t="shared" si="142"/>
        <v>60</v>
      </c>
      <c r="L144" s="569">
        <f t="shared" si="143"/>
        <v>18</v>
      </c>
      <c r="M144" s="569">
        <f t="shared" si="144"/>
        <v>78</v>
      </c>
      <c r="N144" s="569">
        <f t="shared" si="145"/>
        <v>43650.68</v>
      </c>
      <c r="O144" s="569">
        <f t="shared" si="146"/>
        <v>377.99996536136752</v>
      </c>
      <c r="P144" s="402"/>
    </row>
    <row r="145" spans="1:16" ht="42.75" customHeight="1" x14ac:dyDescent="0.2">
      <c r="A145" s="599" t="s">
        <v>1149</v>
      </c>
      <c r="B145" s="602" t="s">
        <v>1123</v>
      </c>
      <c r="C145" s="544">
        <f>8</f>
        <v>8</v>
      </c>
      <c r="D145" s="543" t="s">
        <v>892</v>
      </c>
      <c r="E145" s="569">
        <v>150</v>
      </c>
      <c r="F145" s="569">
        <v>150</v>
      </c>
      <c r="G145" s="569">
        <f t="shared" si="140"/>
        <v>300</v>
      </c>
      <c r="H145" s="563">
        <v>12</v>
      </c>
      <c r="I145" s="546">
        <v>8</v>
      </c>
      <c r="J145" s="569">
        <f t="shared" si="141"/>
        <v>20</v>
      </c>
      <c r="K145" s="569">
        <f t="shared" si="142"/>
        <v>60</v>
      </c>
      <c r="L145" s="569">
        <f t="shared" si="143"/>
        <v>18</v>
      </c>
      <c r="M145" s="569">
        <f t="shared" si="144"/>
        <v>78</v>
      </c>
      <c r="N145" s="569">
        <f t="shared" si="145"/>
        <v>3024</v>
      </c>
      <c r="O145" s="569">
        <f t="shared" si="146"/>
        <v>378</v>
      </c>
    </row>
    <row r="146" spans="1:16" ht="44" x14ac:dyDescent="0.2">
      <c r="A146" s="599" t="s">
        <v>1150</v>
      </c>
      <c r="B146" s="602" t="s">
        <v>978</v>
      </c>
      <c r="C146" s="544">
        <f>C136+C135+C137</f>
        <v>281.52300000000008</v>
      </c>
      <c r="D146" s="543" t="s">
        <v>892</v>
      </c>
      <c r="E146" s="569">
        <v>150</v>
      </c>
      <c r="F146" s="569">
        <v>150</v>
      </c>
      <c r="G146" s="569">
        <f t="shared" si="140"/>
        <v>300</v>
      </c>
      <c r="H146" s="563">
        <v>12</v>
      </c>
      <c r="I146" s="546">
        <v>8</v>
      </c>
      <c r="J146" s="569">
        <f t="shared" si="141"/>
        <v>20</v>
      </c>
      <c r="K146" s="569">
        <f t="shared" si="142"/>
        <v>60</v>
      </c>
      <c r="L146" s="569">
        <f t="shared" si="143"/>
        <v>18</v>
      </c>
      <c r="M146" s="569">
        <f t="shared" si="144"/>
        <v>78</v>
      </c>
      <c r="N146" s="569">
        <f t="shared" si="145"/>
        <v>106415.69</v>
      </c>
      <c r="O146" s="569">
        <f t="shared" si="146"/>
        <v>377.99998579156932</v>
      </c>
    </row>
    <row r="147" spans="1:16" ht="21" x14ac:dyDescent="0.25">
      <c r="A147" s="549"/>
      <c r="B147" s="566"/>
      <c r="C147" s="544"/>
      <c r="D147" s="543"/>
      <c r="E147" s="544"/>
      <c r="F147" s="544"/>
      <c r="G147" s="603"/>
      <c r="H147" s="552"/>
      <c r="I147" s="552"/>
      <c r="J147" s="552"/>
      <c r="K147" s="552"/>
      <c r="L147" s="552"/>
      <c r="M147" s="554" t="s">
        <v>343</v>
      </c>
      <c r="N147" s="555">
        <f>SUM(N143:N146)</f>
        <v>725253.85000000009</v>
      </c>
      <c r="O147" s="589"/>
      <c r="P147" s="370">
        <f>N147</f>
        <v>725253.85000000009</v>
      </c>
    </row>
    <row r="148" spans="1:16" ht="22" x14ac:dyDescent="0.2">
      <c r="A148" s="591">
        <v>4.5</v>
      </c>
      <c r="B148" s="583" t="s">
        <v>1126</v>
      </c>
      <c r="C148" s="569"/>
      <c r="D148" s="543"/>
      <c r="E148" s="569"/>
      <c r="F148" s="569"/>
      <c r="G148" s="569"/>
      <c r="H148" s="569"/>
      <c r="I148" s="569"/>
      <c r="J148" s="569"/>
      <c r="K148" s="569"/>
      <c r="L148" s="569"/>
      <c r="M148" s="569"/>
      <c r="N148" s="569"/>
      <c r="O148" s="569"/>
    </row>
    <row r="149" spans="1:16" ht="22" x14ac:dyDescent="0.2">
      <c r="A149" s="604" t="s">
        <v>1151</v>
      </c>
      <c r="B149" s="602" t="s">
        <v>1200</v>
      </c>
      <c r="C149" s="544">
        <f>76.9*1.1</f>
        <v>84.590000000000018</v>
      </c>
      <c r="D149" s="543" t="s">
        <v>892</v>
      </c>
      <c r="E149" s="544">
        <v>900</v>
      </c>
      <c r="F149" s="544">
        <v>250</v>
      </c>
      <c r="G149" s="545">
        <f t="shared" ref="G149:G151" si="147">E149+F149</f>
        <v>1150</v>
      </c>
      <c r="H149" s="563">
        <v>12</v>
      </c>
      <c r="I149" s="546">
        <v>8</v>
      </c>
      <c r="J149" s="545">
        <f t="shared" ref="J149:J151" si="148">H149+I149</f>
        <v>20</v>
      </c>
      <c r="K149" s="545">
        <f t="shared" ref="K149:K151" si="149">J149%*G149</f>
        <v>230</v>
      </c>
      <c r="L149" s="545">
        <f t="shared" ref="L149:L151" si="150">5%*((G149)+(K149))</f>
        <v>69</v>
      </c>
      <c r="M149" s="545">
        <f t="shared" ref="M149:M151" si="151">K149+L149</f>
        <v>299</v>
      </c>
      <c r="N149" s="547">
        <f t="shared" ref="N149:N151" si="152">(+M149+G149)*C149</f>
        <v>122570.91000000003</v>
      </c>
      <c r="O149" s="545">
        <f t="shared" ref="O149:O151" si="153">N149/C149</f>
        <v>1449</v>
      </c>
    </row>
    <row r="150" spans="1:16" ht="40.5" customHeight="1" x14ac:dyDescent="0.2">
      <c r="A150" s="599" t="s">
        <v>1152</v>
      </c>
      <c r="B150" s="602" t="s">
        <v>1205</v>
      </c>
      <c r="C150" s="544">
        <f>169.68*1.1</f>
        <v>186.64800000000002</v>
      </c>
      <c r="D150" s="543" t="s">
        <v>892</v>
      </c>
      <c r="E150" s="544">
        <v>900</v>
      </c>
      <c r="F150" s="544">
        <v>250</v>
      </c>
      <c r="G150" s="545">
        <f t="shared" si="147"/>
        <v>1150</v>
      </c>
      <c r="H150" s="563">
        <v>12</v>
      </c>
      <c r="I150" s="546">
        <v>8</v>
      </c>
      <c r="J150" s="545">
        <f t="shared" si="148"/>
        <v>20</v>
      </c>
      <c r="K150" s="545">
        <f t="shared" si="149"/>
        <v>230</v>
      </c>
      <c r="L150" s="545">
        <f t="shared" si="150"/>
        <v>69</v>
      </c>
      <c r="M150" s="545">
        <f t="shared" si="151"/>
        <v>299</v>
      </c>
      <c r="N150" s="547">
        <f t="shared" si="152"/>
        <v>270452.95200000005</v>
      </c>
      <c r="O150" s="545">
        <f t="shared" si="153"/>
        <v>1449</v>
      </c>
    </row>
    <row r="151" spans="1:16" ht="22" x14ac:dyDescent="0.2">
      <c r="A151" s="604" t="s">
        <v>1156</v>
      </c>
      <c r="B151" s="602" t="s">
        <v>1201</v>
      </c>
      <c r="C151" s="544">
        <f>30.92*1.1</f>
        <v>34.012000000000008</v>
      </c>
      <c r="D151" s="543" t="s">
        <v>892</v>
      </c>
      <c r="E151" s="544">
        <v>900</v>
      </c>
      <c r="F151" s="544">
        <v>250</v>
      </c>
      <c r="G151" s="545">
        <f t="shared" si="147"/>
        <v>1150</v>
      </c>
      <c r="H151" s="563">
        <v>12</v>
      </c>
      <c r="I151" s="546">
        <v>8</v>
      </c>
      <c r="J151" s="545">
        <f t="shared" si="148"/>
        <v>20</v>
      </c>
      <c r="K151" s="545">
        <f t="shared" si="149"/>
        <v>230</v>
      </c>
      <c r="L151" s="545">
        <f t="shared" si="150"/>
        <v>69</v>
      </c>
      <c r="M151" s="545">
        <f t="shared" si="151"/>
        <v>299</v>
      </c>
      <c r="N151" s="547">
        <f t="shared" si="152"/>
        <v>49283.388000000014</v>
      </c>
      <c r="O151" s="545">
        <f t="shared" si="153"/>
        <v>1449</v>
      </c>
    </row>
    <row r="152" spans="1:16" ht="21" x14ac:dyDescent="0.2">
      <c r="A152" s="549"/>
      <c r="B152" s="566"/>
      <c r="C152" s="544"/>
      <c r="D152" s="543"/>
      <c r="E152" s="544"/>
      <c r="F152" s="544"/>
      <c r="G152" s="603"/>
      <c r="H152" s="552"/>
      <c r="I152" s="552"/>
      <c r="J152" s="552"/>
      <c r="K152" s="552"/>
      <c r="L152" s="552"/>
      <c r="M152" s="554" t="s">
        <v>343</v>
      </c>
      <c r="N152" s="555">
        <f>SUM(N149:N151)</f>
        <v>442307.25000000012</v>
      </c>
      <c r="O152" s="544"/>
      <c r="P152" s="370">
        <f>N152</f>
        <v>442307.25000000012</v>
      </c>
    </row>
    <row r="153" spans="1:16" ht="22" x14ac:dyDescent="0.25">
      <c r="A153" s="591">
        <v>4.5999999999999996</v>
      </c>
      <c r="B153" s="583" t="s">
        <v>1127</v>
      </c>
      <c r="C153" s="569"/>
      <c r="D153" s="543"/>
      <c r="E153" s="569"/>
      <c r="F153" s="569"/>
      <c r="G153" s="603"/>
      <c r="H153" s="552"/>
      <c r="I153" s="552"/>
      <c r="J153" s="552"/>
      <c r="K153" s="552"/>
      <c r="L153" s="552"/>
      <c r="M153" s="552"/>
      <c r="N153" s="605"/>
      <c r="O153" s="589"/>
    </row>
    <row r="154" spans="1:16" ht="44" x14ac:dyDescent="0.25">
      <c r="A154" s="604" t="s">
        <v>1157</v>
      </c>
      <c r="B154" s="602" t="s">
        <v>1202</v>
      </c>
      <c r="C154" s="606">
        <f>7.05*1.1</f>
        <v>7.7550000000000008</v>
      </c>
      <c r="D154" s="543" t="s">
        <v>892</v>
      </c>
      <c r="E154" s="544">
        <v>900</v>
      </c>
      <c r="F154" s="544">
        <v>250</v>
      </c>
      <c r="G154" s="545">
        <f t="shared" ref="G154:G156" si="154">E154+F154</f>
        <v>1150</v>
      </c>
      <c r="H154" s="563">
        <v>12</v>
      </c>
      <c r="I154" s="546">
        <v>8</v>
      </c>
      <c r="J154" s="545">
        <f t="shared" ref="J154:J156" si="155">H154+I154</f>
        <v>20</v>
      </c>
      <c r="K154" s="545">
        <f t="shared" ref="K154:K156" si="156">J154%*G154</f>
        <v>230</v>
      </c>
      <c r="L154" s="545">
        <f t="shared" ref="L154:L156" si="157">5%*((G154)+(K154))</f>
        <v>69</v>
      </c>
      <c r="M154" s="545">
        <f t="shared" ref="M154:M156" si="158">K154+L154</f>
        <v>299</v>
      </c>
      <c r="N154" s="547">
        <f t="shared" ref="N154:N156" si="159">(+M154+G154)*C154</f>
        <v>11236.995000000001</v>
      </c>
      <c r="O154" s="545">
        <f t="shared" ref="O154:O156" si="160">N154/C154</f>
        <v>1449</v>
      </c>
    </row>
    <row r="155" spans="1:16" ht="22" x14ac:dyDescent="0.2">
      <c r="A155" s="599" t="s">
        <v>1158</v>
      </c>
      <c r="B155" s="602" t="s">
        <v>1203</v>
      </c>
      <c r="C155" s="544">
        <f>35.25*1.1</f>
        <v>38.775000000000006</v>
      </c>
      <c r="D155" s="543" t="s">
        <v>892</v>
      </c>
      <c r="E155" s="544">
        <v>900</v>
      </c>
      <c r="F155" s="544">
        <v>250</v>
      </c>
      <c r="G155" s="545">
        <f t="shared" si="154"/>
        <v>1150</v>
      </c>
      <c r="H155" s="563">
        <v>12</v>
      </c>
      <c r="I155" s="546">
        <v>8</v>
      </c>
      <c r="J155" s="545">
        <f t="shared" si="155"/>
        <v>20</v>
      </c>
      <c r="K155" s="545">
        <f t="shared" si="156"/>
        <v>230</v>
      </c>
      <c r="L155" s="545">
        <f t="shared" si="157"/>
        <v>69</v>
      </c>
      <c r="M155" s="545">
        <f t="shared" si="158"/>
        <v>299</v>
      </c>
      <c r="N155" s="547">
        <f t="shared" si="159"/>
        <v>56184.975000000006</v>
      </c>
      <c r="O155" s="545">
        <f t="shared" si="160"/>
        <v>1449</v>
      </c>
    </row>
    <row r="156" spans="1:16" ht="22" x14ac:dyDescent="0.2">
      <c r="A156" s="604" t="s">
        <v>1189</v>
      </c>
      <c r="B156" s="602" t="s">
        <v>1204</v>
      </c>
      <c r="C156" s="544">
        <f>55.788*1.1</f>
        <v>61.366799999999998</v>
      </c>
      <c r="D156" s="543" t="s">
        <v>892</v>
      </c>
      <c r="E156" s="544">
        <v>2000</v>
      </c>
      <c r="F156" s="544">
        <v>250</v>
      </c>
      <c r="G156" s="545">
        <f t="shared" si="154"/>
        <v>2250</v>
      </c>
      <c r="H156" s="563">
        <v>12</v>
      </c>
      <c r="I156" s="546">
        <v>8</v>
      </c>
      <c r="J156" s="545">
        <f t="shared" si="155"/>
        <v>20</v>
      </c>
      <c r="K156" s="545">
        <f t="shared" si="156"/>
        <v>450</v>
      </c>
      <c r="L156" s="545">
        <f t="shared" si="157"/>
        <v>135</v>
      </c>
      <c r="M156" s="545">
        <f t="shared" si="158"/>
        <v>585</v>
      </c>
      <c r="N156" s="547">
        <f t="shared" si="159"/>
        <v>173974.878</v>
      </c>
      <c r="O156" s="545">
        <f t="shared" si="160"/>
        <v>2835</v>
      </c>
    </row>
    <row r="157" spans="1:16" ht="21" x14ac:dyDescent="0.2">
      <c r="A157" s="549"/>
      <c r="B157" s="566"/>
      <c r="C157" s="544"/>
      <c r="D157" s="543"/>
      <c r="E157" s="544"/>
      <c r="F157" s="544"/>
      <c r="G157" s="603"/>
      <c r="H157" s="552"/>
      <c r="I157" s="552"/>
      <c r="J157" s="552"/>
      <c r="K157" s="552"/>
      <c r="L157" s="552"/>
      <c r="M157" s="554" t="s">
        <v>343</v>
      </c>
      <c r="N157" s="555">
        <f>SUM(N154:N156)</f>
        <v>241396.848</v>
      </c>
      <c r="O157" s="544"/>
      <c r="P157" s="370">
        <f>N157</f>
        <v>241396.848</v>
      </c>
    </row>
    <row r="158" spans="1:16" ht="22" x14ac:dyDescent="0.25">
      <c r="A158" s="591">
        <v>4.7</v>
      </c>
      <c r="B158" s="583" t="s">
        <v>1128</v>
      </c>
      <c r="C158" s="569"/>
      <c r="D158" s="543"/>
      <c r="E158" s="569"/>
      <c r="F158" s="569"/>
      <c r="G158" s="603"/>
      <c r="H158" s="552"/>
      <c r="I158" s="552"/>
      <c r="J158" s="552"/>
      <c r="K158" s="552"/>
      <c r="L158" s="552"/>
      <c r="M158" s="552"/>
      <c r="N158" s="605"/>
      <c r="O158" s="589"/>
    </row>
    <row r="159" spans="1:16" ht="44" x14ac:dyDescent="0.2">
      <c r="A159" s="604" t="s">
        <v>1159</v>
      </c>
      <c r="B159" s="602" t="s">
        <v>1129</v>
      </c>
      <c r="C159" s="544">
        <f>46.04*2*1.1</f>
        <v>101.28800000000001</v>
      </c>
      <c r="D159" s="543" t="s">
        <v>892</v>
      </c>
      <c r="E159" s="544">
        <v>5000</v>
      </c>
      <c r="F159" s="544">
        <f>E159*0.35</f>
        <v>1750</v>
      </c>
      <c r="G159" s="545">
        <f t="shared" ref="G159:G160" si="161">E159+F159</f>
        <v>6750</v>
      </c>
      <c r="H159" s="563">
        <v>12</v>
      </c>
      <c r="I159" s="546">
        <v>8</v>
      </c>
      <c r="J159" s="545">
        <f t="shared" ref="J159:J160" si="162">H159+I159</f>
        <v>20</v>
      </c>
      <c r="K159" s="545">
        <f t="shared" ref="K159:K160" si="163">J159%*G159</f>
        <v>1350</v>
      </c>
      <c r="L159" s="545">
        <f t="shared" ref="L159:L160" si="164">5%*((G159)+(K159))</f>
        <v>405</v>
      </c>
      <c r="M159" s="545">
        <f t="shared" ref="M159:M160" si="165">K159+L159</f>
        <v>1755</v>
      </c>
      <c r="N159" s="547">
        <f t="shared" ref="N159:N160" si="166">(+M159+G159)*C159</f>
        <v>861454.44000000006</v>
      </c>
      <c r="O159" s="545">
        <f t="shared" ref="O159:O160" si="167">N159/C159</f>
        <v>8505</v>
      </c>
    </row>
    <row r="160" spans="1:16" ht="22" x14ac:dyDescent="0.2">
      <c r="A160" s="599" t="s">
        <v>1160</v>
      </c>
      <c r="B160" s="607" t="s">
        <v>423</v>
      </c>
      <c r="C160" s="544">
        <v>1</v>
      </c>
      <c r="D160" s="543" t="s">
        <v>5</v>
      </c>
      <c r="E160" s="579">
        <v>1000</v>
      </c>
      <c r="F160" s="580">
        <f>+E160*0.25</f>
        <v>250</v>
      </c>
      <c r="G160" s="545">
        <f t="shared" si="161"/>
        <v>1250</v>
      </c>
      <c r="H160" s="563">
        <v>12</v>
      </c>
      <c r="I160" s="546">
        <v>8</v>
      </c>
      <c r="J160" s="545">
        <f t="shared" si="162"/>
        <v>20</v>
      </c>
      <c r="K160" s="545">
        <f t="shared" si="163"/>
        <v>250</v>
      </c>
      <c r="L160" s="545">
        <f t="shared" si="164"/>
        <v>75</v>
      </c>
      <c r="M160" s="545">
        <f t="shared" si="165"/>
        <v>325</v>
      </c>
      <c r="N160" s="547">
        <f t="shared" si="166"/>
        <v>1575</v>
      </c>
      <c r="O160" s="545">
        <f t="shared" si="167"/>
        <v>1575</v>
      </c>
    </row>
    <row r="161" spans="1:16" ht="21" x14ac:dyDescent="0.2">
      <c r="A161" s="549"/>
      <c r="B161" s="566"/>
      <c r="C161" s="544"/>
      <c r="D161" s="543"/>
      <c r="E161" s="544"/>
      <c r="F161" s="544"/>
      <c r="G161" s="603"/>
      <c r="H161" s="552"/>
      <c r="I161" s="552"/>
      <c r="J161" s="552"/>
      <c r="K161" s="552"/>
      <c r="L161" s="552"/>
      <c r="M161" s="554" t="s">
        <v>343</v>
      </c>
      <c r="N161" s="555">
        <f>SUM(N159:N160)</f>
        <v>863029.44000000006</v>
      </c>
      <c r="O161" s="544"/>
      <c r="P161" s="370">
        <f>N161</f>
        <v>863029.44000000006</v>
      </c>
    </row>
    <row r="162" spans="1:16" ht="22" x14ac:dyDescent="0.25">
      <c r="A162" s="591">
        <v>4.8</v>
      </c>
      <c r="B162" s="583" t="s">
        <v>1408</v>
      </c>
      <c r="C162" s="569"/>
      <c r="D162" s="543"/>
      <c r="E162" s="569"/>
      <c r="F162" s="569"/>
      <c r="G162" s="603"/>
      <c r="H162" s="552"/>
      <c r="I162" s="552"/>
      <c r="J162" s="552"/>
      <c r="K162" s="552"/>
      <c r="L162" s="552"/>
      <c r="M162" s="552"/>
      <c r="N162" s="605"/>
      <c r="O162" s="589"/>
    </row>
    <row r="163" spans="1:16" ht="110" x14ac:dyDescent="0.2">
      <c r="A163" s="604" t="s">
        <v>1161</v>
      </c>
      <c r="B163" s="602" t="s">
        <v>1491</v>
      </c>
      <c r="C163" s="544">
        <v>4</v>
      </c>
      <c r="D163" s="543" t="s">
        <v>1</v>
      </c>
      <c r="E163" s="544">
        <v>30000</v>
      </c>
      <c r="F163" s="544">
        <f>E163*0.35</f>
        <v>10500</v>
      </c>
      <c r="G163" s="545">
        <f t="shared" ref="G163:G164" si="168">E163+F163</f>
        <v>40500</v>
      </c>
      <c r="H163" s="563">
        <v>12</v>
      </c>
      <c r="I163" s="546">
        <v>8</v>
      </c>
      <c r="J163" s="545">
        <f t="shared" ref="J163:J164" si="169">H163+I163</f>
        <v>20</v>
      </c>
      <c r="K163" s="545">
        <f t="shared" ref="K163:K164" si="170">J163%*G163</f>
        <v>8100</v>
      </c>
      <c r="L163" s="545">
        <f t="shared" ref="L163:L164" si="171">5%*((G163)+(K163))</f>
        <v>2430</v>
      </c>
      <c r="M163" s="545">
        <f t="shared" ref="M163:M164" si="172">K163+L163</f>
        <v>10530</v>
      </c>
      <c r="N163" s="547">
        <f t="shared" ref="N163:N164" si="173">(+M163+G163)*C163</f>
        <v>204120</v>
      </c>
      <c r="O163" s="545">
        <f t="shared" ref="O163:O164" si="174">N163/C163</f>
        <v>51030</v>
      </c>
    </row>
    <row r="164" spans="1:16" ht="22" x14ac:dyDescent="0.2">
      <c r="A164" s="599" t="s">
        <v>1162</v>
      </c>
      <c r="B164" s="607" t="s">
        <v>423</v>
      </c>
      <c r="C164" s="544">
        <v>1</v>
      </c>
      <c r="D164" s="543" t="s">
        <v>5</v>
      </c>
      <c r="E164" s="579">
        <v>2000</v>
      </c>
      <c r="F164" s="580">
        <f>+E164*0.25</f>
        <v>500</v>
      </c>
      <c r="G164" s="545">
        <f t="shared" si="168"/>
        <v>2500</v>
      </c>
      <c r="H164" s="563">
        <v>12</v>
      </c>
      <c r="I164" s="546">
        <v>8</v>
      </c>
      <c r="J164" s="545">
        <f t="shared" si="169"/>
        <v>20</v>
      </c>
      <c r="K164" s="545">
        <f t="shared" si="170"/>
        <v>500</v>
      </c>
      <c r="L164" s="545">
        <f t="shared" si="171"/>
        <v>150</v>
      </c>
      <c r="M164" s="545">
        <f t="shared" si="172"/>
        <v>650</v>
      </c>
      <c r="N164" s="547">
        <f t="shared" si="173"/>
        <v>3150</v>
      </c>
      <c r="O164" s="545">
        <f t="shared" si="174"/>
        <v>3150</v>
      </c>
    </row>
    <row r="165" spans="1:16" ht="21" x14ac:dyDescent="0.2">
      <c r="A165" s="549"/>
      <c r="B165" s="566"/>
      <c r="C165" s="544"/>
      <c r="D165" s="543"/>
      <c r="E165" s="544"/>
      <c r="F165" s="544"/>
      <c r="G165" s="603"/>
      <c r="H165" s="552"/>
      <c r="I165" s="552"/>
      <c r="J165" s="552"/>
      <c r="K165" s="552"/>
      <c r="L165" s="552"/>
      <c r="M165" s="554" t="s">
        <v>343</v>
      </c>
      <c r="N165" s="555">
        <f>SUM(N163:N164)</f>
        <v>207270</v>
      </c>
      <c r="O165" s="544"/>
      <c r="P165" s="370">
        <f>N165</f>
        <v>207270</v>
      </c>
    </row>
    <row r="166" spans="1:16" ht="22" x14ac:dyDescent="0.2">
      <c r="A166" s="591">
        <v>4.9000000000000004</v>
      </c>
      <c r="B166" s="583" t="s">
        <v>1513</v>
      </c>
      <c r="C166" s="569"/>
      <c r="D166" s="543"/>
      <c r="E166" s="569"/>
      <c r="F166" s="569"/>
      <c r="G166" s="603"/>
      <c r="H166" s="552"/>
      <c r="I166" s="552"/>
      <c r="J166" s="552"/>
      <c r="K166" s="552"/>
      <c r="L166" s="552"/>
      <c r="M166" s="552"/>
      <c r="N166" s="605"/>
      <c r="O166" s="544"/>
    </row>
    <row r="167" spans="1:16" ht="22" x14ac:dyDescent="0.2">
      <c r="A167" s="570" t="s">
        <v>1214</v>
      </c>
      <c r="B167" s="602" t="s">
        <v>1207</v>
      </c>
      <c r="C167" s="544">
        <v>141</v>
      </c>
      <c r="D167" s="543" t="s">
        <v>98</v>
      </c>
      <c r="E167" s="544">
        <v>330</v>
      </c>
      <c r="F167" s="544">
        <f>E167*0.35</f>
        <v>115.49999999999999</v>
      </c>
      <c r="G167" s="545">
        <f t="shared" ref="G167:G168" si="175">E167+F167</f>
        <v>445.5</v>
      </c>
      <c r="H167" s="563">
        <v>12</v>
      </c>
      <c r="I167" s="546">
        <v>8</v>
      </c>
      <c r="J167" s="545">
        <f t="shared" ref="J167:J168" si="176">H167+I167</f>
        <v>20</v>
      </c>
      <c r="K167" s="545">
        <f t="shared" ref="K167:K168" si="177">J167%*G167</f>
        <v>89.100000000000009</v>
      </c>
      <c r="L167" s="545">
        <f t="shared" ref="L167:L168" si="178">5%*((G167)+(K167))</f>
        <v>26.730000000000004</v>
      </c>
      <c r="M167" s="545">
        <f t="shared" ref="M167:M168" si="179">K167+L167</f>
        <v>115.83000000000001</v>
      </c>
      <c r="N167" s="547">
        <f t="shared" ref="N167:N168" si="180">(+M167+G167)*C167</f>
        <v>79147.53</v>
      </c>
      <c r="O167" s="545">
        <f t="shared" ref="O167:O168" si="181">N167/C167</f>
        <v>561.33000000000004</v>
      </c>
    </row>
    <row r="168" spans="1:16" ht="22" x14ac:dyDescent="0.2">
      <c r="A168" s="570" t="s">
        <v>1215</v>
      </c>
      <c r="B168" s="608" t="s">
        <v>1206</v>
      </c>
      <c r="C168" s="544">
        <f>28.981*1.1</f>
        <v>31.879100000000005</v>
      </c>
      <c r="D168" s="543" t="s">
        <v>892</v>
      </c>
      <c r="E168" s="569">
        <v>350</v>
      </c>
      <c r="F168" s="569">
        <v>150</v>
      </c>
      <c r="G168" s="545">
        <f t="shared" si="175"/>
        <v>500</v>
      </c>
      <c r="H168" s="563">
        <v>12</v>
      </c>
      <c r="I168" s="546">
        <v>8</v>
      </c>
      <c r="J168" s="545">
        <f t="shared" si="176"/>
        <v>20</v>
      </c>
      <c r="K168" s="545">
        <f t="shared" si="177"/>
        <v>100</v>
      </c>
      <c r="L168" s="545">
        <f t="shared" si="178"/>
        <v>30</v>
      </c>
      <c r="M168" s="545">
        <f t="shared" si="179"/>
        <v>130</v>
      </c>
      <c r="N168" s="547">
        <f t="shared" si="180"/>
        <v>20083.833000000002</v>
      </c>
      <c r="O168" s="545">
        <f t="shared" si="181"/>
        <v>630</v>
      </c>
    </row>
    <row r="169" spans="1:16" ht="21" x14ac:dyDescent="0.2">
      <c r="A169" s="549"/>
      <c r="B169" s="566"/>
      <c r="C169" s="544"/>
      <c r="D169" s="543"/>
      <c r="E169" s="544"/>
      <c r="F169" s="544"/>
      <c r="G169" s="603"/>
      <c r="H169" s="552"/>
      <c r="I169" s="552"/>
      <c r="J169" s="552"/>
      <c r="K169" s="552"/>
      <c r="L169" s="552"/>
      <c r="M169" s="554" t="s">
        <v>343</v>
      </c>
      <c r="N169" s="555">
        <f>SUM(N167:N168)</f>
        <v>99231.362999999998</v>
      </c>
      <c r="O169" s="544"/>
      <c r="P169" s="370">
        <f>N169</f>
        <v>99231.362999999998</v>
      </c>
    </row>
    <row r="170" spans="1:16" ht="22" x14ac:dyDescent="0.25">
      <c r="A170" s="609">
        <v>4.0999999999999996</v>
      </c>
      <c r="B170" s="583" t="s">
        <v>1164</v>
      </c>
      <c r="C170" s="569"/>
      <c r="D170" s="543"/>
      <c r="E170" s="569"/>
      <c r="F170" s="569"/>
      <c r="G170" s="603"/>
      <c r="H170" s="552"/>
      <c r="I170" s="552"/>
      <c r="J170" s="552"/>
      <c r="K170" s="552"/>
      <c r="L170" s="552"/>
      <c r="M170" s="552"/>
      <c r="N170" s="605"/>
      <c r="O170" s="589"/>
    </row>
    <row r="171" spans="1:16" ht="66" x14ac:dyDescent="0.2">
      <c r="A171" s="570" t="s">
        <v>1216</v>
      </c>
      <c r="B171" s="610" t="s">
        <v>1170</v>
      </c>
      <c r="C171" s="546">
        <v>1</v>
      </c>
      <c r="D171" s="542" t="s">
        <v>1</v>
      </c>
      <c r="E171" s="546">
        <f>25075*1.2</f>
        <v>30090</v>
      </c>
      <c r="F171" s="544">
        <v>2100</v>
      </c>
      <c r="G171" s="545">
        <f t="shared" ref="G171:G174" si="182">E171+F171</f>
        <v>32190</v>
      </c>
      <c r="H171" s="563">
        <v>12</v>
      </c>
      <c r="I171" s="546">
        <v>8</v>
      </c>
      <c r="J171" s="545">
        <f t="shared" ref="J171:J178" si="183">H171+I171</f>
        <v>20</v>
      </c>
      <c r="K171" s="545">
        <f t="shared" ref="K171:K178" si="184">J171%*G171</f>
        <v>6438</v>
      </c>
      <c r="L171" s="545">
        <f t="shared" ref="L171:L178" si="185">5%*((G171)+(K171))</f>
        <v>1931.4</v>
      </c>
      <c r="M171" s="545">
        <f t="shared" ref="M171:M178" si="186">K171+L171</f>
        <v>8369.4</v>
      </c>
      <c r="N171" s="547">
        <f t="shared" ref="N171:N178" si="187">(+M171+G171)*C171</f>
        <v>40559.4</v>
      </c>
      <c r="O171" s="545">
        <f t="shared" ref="O171:O178" si="188">N171/C171</f>
        <v>40559.4</v>
      </c>
    </row>
    <row r="172" spans="1:16" ht="66" x14ac:dyDescent="0.2">
      <c r="A172" s="570" t="s">
        <v>1217</v>
      </c>
      <c r="B172" s="610" t="s">
        <v>1266</v>
      </c>
      <c r="C172" s="546">
        <v>2</v>
      </c>
      <c r="D172" s="542" t="s">
        <v>1</v>
      </c>
      <c r="E172" s="546">
        <f>30090+2000</f>
        <v>32090</v>
      </c>
      <c r="F172" s="544">
        <v>2100</v>
      </c>
      <c r="G172" s="545">
        <f t="shared" si="182"/>
        <v>34190</v>
      </c>
      <c r="H172" s="563">
        <v>12</v>
      </c>
      <c r="I172" s="546">
        <v>8</v>
      </c>
      <c r="J172" s="545">
        <f t="shared" si="183"/>
        <v>20</v>
      </c>
      <c r="K172" s="545">
        <f t="shared" si="184"/>
        <v>6838</v>
      </c>
      <c r="L172" s="545">
        <f t="shared" si="185"/>
        <v>2051.4</v>
      </c>
      <c r="M172" s="545">
        <f t="shared" si="186"/>
        <v>8889.4</v>
      </c>
      <c r="N172" s="547">
        <f t="shared" si="187"/>
        <v>86158.8</v>
      </c>
      <c r="O172" s="545">
        <f t="shared" si="188"/>
        <v>43079.4</v>
      </c>
    </row>
    <row r="173" spans="1:16" ht="44" x14ac:dyDescent="0.2">
      <c r="A173" s="570" t="s">
        <v>1218</v>
      </c>
      <c r="B173" s="610" t="s">
        <v>1165</v>
      </c>
      <c r="C173" s="546">
        <v>1</v>
      </c>
      <c r="D173" s="542" t="s">
        <v>1</v>
      </c>
      <c r="E173" s="546">
        <f>9800*1.5</f>
        <v>14700</v>
      </c>
      <c r="F173" s="546">
        <v>1400</v>
      </c>
      <c r="G173" s="545">
        <f t="shared" si="182"/>
        <v>16100</v>
      </c>
      <c r="H173" s="563">
        <v>12</v>
      </c>
      <c r="I173" s="546">
        <v>8</v>
      </c>
      <c r="J173" s="545">
        <f t="shared" si="183"/>
        <v>20</v>
      </c>
      <c r="K173" s="545">
        <f t="shared" si="184"/>
        <v>3220</v>
      </c>
      <c r="L173" s="545">
        <f t="shared" si="185"/>
        <v>966</v>
      </c>
      <c r="M173" s="545">
        <f t="shared" si="186"/>
        <v>4186</v>
      </c>
      <c r="N173" s="547">
        <f t="shared" si="187"/>
        <v>20286</v>
      </c>
      <c r="O173" s="545">
        <f t="shared" si="188"/>
        <v>20286</v>
      </c>
    </row>
    <row r="174" spans="1:16" ht="44" x14ac:dyDescent="0.2">
      <c r="A174" s="570" t="s">
        <v>1219</v>
      </c>
      <c r="B174" s="610" t="s">
        <v>1166</v>
      </c>
      <c r="C174" s="546">
        <v>4</v>
      </c>
      <c r="D174" s="542" t="s">
        <v>1</v>
      </c>
      <c r="E174" s="546">
        <f>8550*1.2</f>
        <v>10260</v>
      </c>
      <c r="F174" s="546">
        <v>1400</v>
      </c>
      <c r="G174" s="545">
        <f t="shared" si="182"/>
        <v>11660</v>
      </c>
      <c r="H174" s="563">
        <v>12</v>
      </c>
      <c r="I174" s="546">
        <v>8</v>
      </c>
      <c r="J174" s="545">
        <f t="shared" si="183"/>
        <v>20</v>
      </c>
      <c r="K174" s="545">
        <f t="shared" si="184"/>
        <v>2332</v>
      </c>
      <c r="L174" s="545">
        <f t="shared" si="185"/>
        <v>699.6</v>
      </c>
      <c r="M174" s="545">
        <f t="shared" si="186"/>
        <v>3031.6</v>
      </c>
      <c r="N174" s="547">
        <f t="shared" si="187"/>
        <v>58766.400000000001</v>
      </c>
      <c r="O174" s="545">
        <f t="shared" si="188"/>
        <v>14691.6</v>
      </c>
    </row>
    <row r="175" spans="1:16" ht="44" x14ac:dyDescent="0.2">
      <c r="A175" s="570" t="s">
        <v>1220</v>
      </c>
      <c r="B175" s="610" t="s">
        <v>1167</v>
      </c>
      <c r="C175" s="546">
        <v>4</v>
      </c>
      <c r="D175" s="542" t="s">
        <v>1</v>
      </c>
      <c r="E175" s="546">
        <f>E174</f>
        <v>10260</v>
      </c>
      <c r="F175" s="546">
        <v>1400</v>
      </c>
      <c r="G175" s="545">
        <f>E175+F175</f>
        <v>11660</v>
      </c>
      <c r="H175" s="563">
        <v>12</v>
      </c>
      <c r="I175" s="546">
        <v>8</v>
      </c>
      <c r="J175" s="545">
        <f t="shared" si="183"/>
        <v>20</v>
      </c>
      <c r="K175" s="545">
        <f t="shared" si="184"/>
        <v>2332</v>
      </c>
      <c r="L175" s="545">
        <f t="shared" si="185"/>
        <v>699.6</v>
      </c>
      <c r="M175" s="545">
        <f t="shared" si="186"/>
        <v>3031.6</v>
      </c>
      <c r="N175" s="547">
        <f t="shared" si="187"/>
        <v>58766.400000000001</v>
      </c>
      <c r="O175" s="545">
        <f t="shared" si="188"/>
        <v>14691.6</v>
      </c>
      <c r="P175" s="99"/>
    </row>
    <row r="176" spans="1:16" ht="66" x14ac:dyDescent="0.2">
      <c r="A176" s="570" t="s">
        <v>1221</v>
      </c>
      <c r="B176" s="610" t="s">
        <v>1168</v>
      </c>
      <c r="C176" s="546">
        <v>5</v>
      </c>
      <c r="D176" s="542" t="s">
        <v>1</v>
      </c>
      <c r="E176" s="546">
        <v>6000</v>
      </c>
      <c r="F176" s="546">
        <v>1000</v>
      </c>
      <c r="G176" s="545">
        <f>E176+F176</f>
        <v>7000</v>
      </c>
      <c r="H176" s="563">
        <v>12</v>
      </c>
      <c r="I176" s="546">
        <v>8</v>
      </c>
      <c r="J176" s="545">
        <f t="shared" si="183"/>
        <v>20</v>
      </c>
      <c r="K176" s="545">
        <f t="shared" si="184"/>
        <v>1400</v>
      </c>
      <c r="L176" s="545">
        <f t="shared" si="185"/>
        <v>420</v>
      </c>
      <c r="M176" s="545">
        <f t="shared" si="186"/>
        <v>1820</v>
      </c>
      <c r="N176" s="547">
        <f t="shared" si="187"/>
        <v>44100</v>
      </c>
      <c r="O176" s="545">
        <f t="shared" si="188"/>
        <v>8820</v>
      </c>
    </row>
    <row r="177" spans="1:16" ht="66" x14ac:dyDescent="0.2">
      <c r="A177" s="570" t="s">
        <v>1222</v>
      </c>
      <c r="B177" s="610" t="s">
        <v>1171</v>
      </c>
      <c r="C177" s="546">
        <v>1</v>
      </c>
      <c r="D177" s="542" t="s">
        <v>1</v>
      </c>
      <c r="E177" s="546">
        <f>E175</f>
        <v>10260</v>
      </c>
      <c r="F177" s="546">
        <v>1400</v>
      </c>
      <c r="G177" s="545">
        <f>E177+F177</f>
        <v>11660</v>
      </c>
      <c r="H177" s="563">
        <v>12</v>
      </c>
      <c r="I177" s="546">
        <v>8</v>
      </c>
      <c r="J177" s="545">
        <f t="shared" si="183"/>
        <v>20</v>
      </c>
      <c r="K177" s="545">
        <f t="shared" si="184"/>
        <v>2332</v>
      </c>
      <c r="L177" s="545">
        <f t="shared" si="185"/>
        <v>699.6</v>
      </c>
      <c r="M177" s="545">
        <f t="shared" si="186"/>
        <v>3031.6</v>
      </c>
      <c r="N177" s="547">
        <f t="shared" si="187"/>
        <v>14691.6</v>
      </c>
      <c r="O177" s="545">
        <f t="shared" si="188"/>
        <v>14691.6</v>
      </c>
    </row>
    <row r="178" spans="1:16" ht="44" x14ac:dyDescent="0.2">
      <c r="A178" s="570" t="s">
        <v>1409</v>
      </c>
      <c r="B178" s="610" t="s">
        <v>1169</v>
      </c>
      <c r="C178" s="546">
        <v>1</v>
      </c>
      <c r="D178" s="542" t="s">
        <v>1</v>
      </c>
      <c r="E178" s="546">
        <v>10050</v>
      </c>
      <c r="F178" s="546">
        <v>1400</v>
      </c>
      <c r="G178" s="545">
        <f>E178+F178</f>
        <v>11450</v>
      </c>
      <c r="H178" s="563">
        <v>12</v>
      </c>
      <c r="I178" s="546">
        <v>8</v>
      </c>
      <c r="J178" s="545">
        <f t="shared" si="183"/>
        <v>20</v>
      </c>
      <c r="K178" s="545">
        <f t="shared" si="184"/>
        <v>2290</v>
      </c>
      <c r="L178" s="545">
        <f t="shared" si="185"/>
        <v>687</v>
      </c>
      <c r="M178" s="545">
        <f t="shared" si="186"/>
        <v>2977</v>
      </c>
      <c r="N178" s="547">
        <f t="shared" si="187"/>
        <v>14427</v>
      </c>
      <c r="O178" s="545">
        <f t="shared" si="188"/>
        <v>14427</v>
      </c>
    </row>
    <row r="179" spans="1:16" ht="21" x14ac:dyDescent="0.25">
      <c r="A179" s="611"/>
      <c r="B179" s="612"/>
      <c r="C179" s="544"/>
      <c r="D179" s="543"/>
      <c r="E179" s="544"/>
      <c r="F179" s="544"/>
      <c r="G179" s="603"/>
      <c r="H179" s="552"/>
      <c r="I179" s="552"/>
      <c r="J179" s="552"/>
      <c r="K179" s="552"/>
      <c r="L179" s="552"/>
      <c r="M179" s="554" t="s">
        <v>343</v>
      </c>
      <c r="N179" s="555">
        <f>SUM(N171:N178)</f>
        <v>337755.6</v>
      </c>
      <c r="O179" s="544"/>
      <c r="P179" s="370">
        <f>N179</f>
        <v>337755.6</v>
      </c>
    </row>
    <row r="180" spans="1:16" ht="22" x14ac:dyDescent="0.2">
      <c r="A180" s="613">
        <v>4.1100000000000003</v>
      </c>
      <c r="B180" s="568" t="s">
        <v>744</v>
      </c>
      <c r="C180" s="569"/>
      <c r="D180" s="543"/>
      <c r="E180" s="569"/>
      <c r="F180" s="569"/>
      <c r="G180" s="603"/>
      <c r="H180" s="552"/>
      <c r="I180" s="552"/>
      <c r="J180" s="552"/>
      <c r="K180" s="552"/>
      <c r="L180" s="552"/>
      <c r="M180" s="552"/>
      <c r="N180" s="605"/>
      <c r="O180" s="544"/>
    </row>
    <row r="181" spans="1:16" ht="44" x14ac:dyDescent="0.2">
      <c r="A181" s="570" t="s">
        <v>1223</v>
      </c>
      <c r="B181" s="610" t="s">
        <v>1172</v>
      </c>
      <c r="C181" s="546">
        <v>2</v>
      </c>
      <c r="D181" s="542" t="s">
        <v>1</v>
      </c>
      <c r="E181" s="544">
        <f>5400*2*1</f>
        <v>10800</v>
      </c>
      <c r="F181" s="544">
        <f>E181*0.3</f>
        <v>3240</v>
      </c>
      <c r="G181" s="545">
        <f>E181+F181</f>
        <v>14040</v>
      </c>
      <c r="H181" s="563">
        <v>12</v>
      </c>
      <c r="I181" s="546">
        <v>8</v>
      </c>
      <c r="J181" s="545">
        <f t="shared" ref="J181:J187" si="189">H181+I181</f>
        <v>20</v>
      </c>
      <c r="K181" s="545">
        <f t="shared" ref="K181:K187" si="190">J181%*G181</f>
        <v>2808</v>
      </c>
      <c r="L181" s="545">
        <f t="shared" ref="L181:L187" si="191">5%*((G181)+(K181))</f>
        <v>842.40000000000009</v>
      </c>
      <c r="M181" s="545">
        <f t="shared" ref="M181:M187" si="192">K181+L181</f>
        <v>3650.4</v>
      </c>
      <c r="N181" s="547">
        <f t="shared" ref="N181:N187" si="193">(+M181+G181)*C181</f>
        <v>35380.800000000003</v>
      </c>
      <c r="O181" s="545">
        <f t="shared" ref="O181:O187" si="194">N181/C181</f>
        <v>17690.400000000001</v>
      </c>
    </row>
    <row r="182" spans="1:16" ht="44" x14ac:dyDescent="0.2">
      <c r="A182" s="570" t="s">
        <v>1410</v>
      </c>
      <c r="B182" s="610" t="s">
        <v>1173</v>
      </c>
      <c r="C182" s="546">
        <v>1</v>
      </c>
      <c r="D182" s="542" t="s">
        <v>1</v>
      </c>
      <c r="E182" s="544">
        <f>5400*0.8*1.5</f>
        <v>6480</v>
      </c>
      <c r="F182" s="544">
        <f t="shared" ref="F182:F186" si="195">E182*0.3</f>
        <v>1944</v>
      </c>
      <c r="G182" s="545">
        <f t="shared" ref="G182:G187" si="196">E182+F182</f>
        <v>8424</v>
      </c>
      <c r="H182" s="563">
        <v>12</v>
      </c>
      <c r="I182" s="546">
        <v>8</v>
      </c>
      <c r="J182" s="545">
        <f t="shared" si="189"/>
        <v>20</v>
      </c>
      <c r="K182" s="545">
        <f t="shared" si="190"/>
        <v>1684.8000000000002</v>
      </c>
      <c r="L182" s="545">
        <f t="shared" si="191"/>
        <v>505.44</v>
      </c>
      <c r="M182" s="545">
        <f t="shared" si="192"/>
        <v>2190.2400000000002</v>
      </c>
      <c r="N182" s="547">
        <f t="shared" si="193"/>
        <v>10614.24</v>
      </c>
      <c r="O182" s="545">
        <f t="shared" si="194"/>
        <v>10614.24</v>
      </c>
    </row>
    <row r="183" spans="1:16" ht="44" x14ac:dyDescent="0.2">
      <c r="A183" s="570" t="s">
        <v>1411</v>
      </c>
      <c r="B183" s="610" t="s">
        <v>1174</v>
      </c>
      <c r="C183" s="546">
        <v>2</v>
      </c>
      <c r="D183" s="542" t="s">
        <v>1</v>
      </c>
      <c r="E183" s="544">
        <f>5400*1.2*1.8</f>
        <v>11664</v>
      </c>
      <c r="F183" s="544">
        <f t="shared" si="195"/>
        <v>3499.2</v>
      </c>
      <c r="G183" s="545">
        <f t="shared" si="196"/>
        <v>15163.2</v>
      </c>
      <c r="H183" s="563">
        <v>12</v>
      </c>
      <c r="I183" s="546">
        <v>8</v>
      </c>
      <c r="J183" s="545">
        <f t="shared" si="189"/>
        <v>20</v>
      </c>
      <c r="K183" s="545">
        <f t="shared" si="190"/>
        <v>3032.6400000000003</v>
      </c>
      <c r="L183" s="545">
        <f t="shared" si="191"/>
        <v>909.79200000000003</v>
      </c>
      <c r="M183" s="545">
        <f t="shared" si="192"/>
        <v>3942.4320000000002</v>
      </c>
      <c r="N183" s="547">
        <f t="shared" si="193"/>
        <v>38211.264000000003</v>
      </c>
      <c r="O183" s="545">
        <f t="shared" si="194"/>
        <v>19105.632000000001</v>
      </c>
    </row>
    <row r="184" spans="1:16" ht="44" x14ac:dyDescent="0.2">
      <c r="A184" s="570" t="s">
        <v>1412</v>
      </c>
      <c r="B184" s="610" t="s">
        <v>1175</v>
      </c>
      <c r="C184" s="546">
        <v>5</v>
      </c>
      <c r="D184" s="542" t="s">
        <v>1</v>
      </c>
      <c r="E184" s="544">
        <f>5400*0.55*1.5</f>
        <v>4455.0000000000009</v>
      </c>
      <c r="F184" s="544">
        <f t="shared" si="195"/>
        <v>1336.5000000000002</v>
      </c>
      <c r="G184" s="545">
        <f t="shared" si="196"/>
        <v>5791.5000000000009</v>
      </c>
      <c r="H184" s="563">
        <v>12</v>
      </c>
      <c r="I184" s="546">
        <v>8</v>
      </c>
      <c r="J184" s="545">
        <f t="shared" si="189"/>
        <v>20</v>
      </c>
      <c r="K184" s="545">
        <f t="shared" si="190"/>
        <v>1158.3000000000002</v>
      </c>
      <c r="L184" s="545">
        <f t="shared" si="191"/>
        <v>347.49000000000007</v>
      </c>
      <c r="M184" s="545">
        <f t="shared" si="192"/>
        <v>1505.7900000000002</v>
      </c>
      <c r="N184" s="547">
        <f t="shared" si="193"/>
        <v>36486.450000000004</v>
      </c>
      <c r="O184" s="545">
        <f t="shared" si="194"/>
        <v>7297.2900000000009</v>
      </c>
    </row>
    <row r="185" spans="1:16" ht="44" x14ac:dyDescent="0.2">
      <c r="A185" s="570" t="s">
        <v>1413</v>
      </c>
      <c r="B185" s="610" t="s">
        <v>1176</v>
      </c>
      <c r="C185" s="546">
        <v>2</v>
      </c>
      <c r="D185" s="542" t="s">
        <v>1</v>
      </c>
      <c r="E185" s="544">
        <f>5400*0.6*1.2</f>
        <v>3888</v>
      </c>
      <c r="F185" s="544">
        <f t="shared" si="195"/>
        <v>1166.3999999999999</v>
      </c>
      <c r="G185" s="545">
        <f t="shared" si="196"/>
        <v>5054.3999999999996</v>
      </c>
      <c r="H185" s="563">
        <v>12</v>
      </c>
      <c r="I185" s="546">
        <v>8</v>
      </c>
      <c r="J185" s="545">
        <f t="shared" si="189"/>
        <v>20</v>
      </c>
      <c r="K185" s="545">
        <f t="shared" si="190"/>
        <v>1010.88</v>
      </c>
      <c r="L185" s="545">
        <f t="shared" si="191"/>
        <v>303.26400000000001</v>
      </c>
      <c r="M185" s="545">
        <f t="shared" si="192"/>
        <v>1314.144</v>
      </c>
      <c r="N185" s="547">
        <f t="shared" si="193"/>
        <v>12737.088</v>
      </c>
      <c r="O185" s="545">
        <f t="shared" si="194"/>
        <v>6368.5439999999999</v>
      </c>
    </row>
    <row r="186" spans="1:16" ht="44" x14ac:dyDescent="0.2">
      <c r="A186" s="570" t="s">
        <v>1414</v>
      </c>
      <c r="B186" s="610" t="s">
        <v>1177</v>
      </c>
      <c r="C186" s="546">
        <v>2</v>
      </c>
      <c r="D186" s="542" t="s">
        <v>1</v>
      </c>
      <c r="E186" s="544">
        <f>5400*0.6*0.6</f>
        <v>1944</v>
      </c>
      <c r="F186" s="544">
        <f t="shared" si="195"/>
        <v>583.19999999999993</v>
      </c>
      <c r="G186" s="545">
        <f t="shared" si="196"/>
        <v>2527.1999999999998</v>
      </c>
      <c r="H186" s="563">
        <v>12</v>
      </c>
      <c r="I186" s="546">
        <v>8</v>
      </c>
      <c r="J186" s="545">
        <f t="shared" si="189"/>
        <v>20</v>
      </c>
      <c r="K186" s="545">
        <f t="shared" si="190"/>
        <v>505.44</v>
      </c>
      <c r="L186" s="545">
        <f t="shared" si="191"/>
        <v>151.63200000000001</v>
      </c>
      <c r="M186" s="545">
        <f t="shared" si="192"/>
        <v>657.072</v>
      </c>
      <c r="N186" s="547">
        <f t="shared" si="193"/>
        <v>6368.5439999999999</v>
      </c>
      <c r="O186" s="545">
        <f t="shared" si="194"/>
        <v>3184.2719999999999</v>
      </c>
    </row>
    <row r="187" spans="1:16" ht="44" x14ac:dyDescent="0.2">
      <c r="A187" s="570" t="s">
        <v>1415</v>
      </c>
      <c r="B187" s="610" t="s">
        <v>1178</v>
      </c>
      <c r="C187" s="546">
        <v>1</v>
      </c>
      <c r="D187" s="542" t="s">
        <v>1</v>
      </c>
      <c r="E187" s="544">
        <f>5400*1.2*1.4</f>
        <v>9072</v>
      </c>
      <c r="F187" s="544">
        <f>E187*0.3</f>
        <v>2721.6</v>
      </c>
      <c r="G187" s="545">
        <f t="shared" si="196"/>
        <v>11793.6</v>
      </c>
      <c r="H187" s="563">
        <v>12</v>
      </c>
      <c r="I187" s="546">
        <v>8</v>
      </c>
      <c r="J187" s="545">
        <f t="shared" si="189"/>
        <v>20</v>
      </c>
      <c r="K187" s="545">
        <f t="shared" si="190"/>
        <v>2358.7200000000003</v>
      </c>
      <c r="L187" s="545">
        <f t="shared" si="191"/>
        <v>707.61599999999999</v>
      </c>
      <c r="M187" s="545">
        <f t="shared" si="192"/>
        <v>3066.3360000000002</v>
      </c>
      <c r="N187" s="547">
        <f t="shared" si="193"/>
        <v>14859.936000000002</v>
      </c>
      <c r="O187" s="545">
        <f t="shared" si="194"/>
        <v>14859.936000000002</v>
      </c>
    </row>
    <row r="188" spans="1:16" ht="21" x14ac:dyDescent="0.25">
      <c r="A188" s="611"/>
      <c r="B188" s="614"/>
      <c r="C188" s="544"/>
      <c r="D188" s="543"/>
      <c r="E188" s="544"/>
      <c r="F188" s="544"/>
      <c r="G188" s="603"/>
      <c r="H188" s="552"/>
      <c r="I188" s="552"/>
      <c r="J188" s="552"/>
      <c r="K188" s="552"/>
      <c r="L188" s="552"/>
      <c r="M188" s="554" t="s">
        <v>343</v>
      </c>
      <c r="N188" s="555">
        <f>SUM(N181:N187)</f>
        <v>154658.32199999999</v>
      </c>
      <c r="O188" s="544"/>
      <c r="P188" s="370">
        <f>N188</f>
        <v>154658.32199999999</v>
      </c>
    </row>
    <row r="189" spans="1:16" ht="22" x14ac:dyDescent="0.25">
      <c r="A189" s="613">
        <v>4.12</v>
      </c>
      <c r="B189" s="583" t="s">
        <v>1208</v>
      </c>
      <c r="C189" s="569"/>
      <c r="D189" s="543"/>
      <c r="E189" s="569"/>
      <c r="F189" s="569"/>
      <c r="G189" s="603"/>
      <c r="H189" s="552"/>
      <c r="I189" s="552"/>
      <c r="J189" s="552"/>
      <c r="K189" s="552"/>
      <c r="L189" s="552"/>
      <c r="M189" s="552"/>
      <c r="N189" s="605"/>
      <c r="O189" s="589"/>
    </row>
    <row r="190" spans="1:16" ht="47.25" customHeight="1" x14ac:dyDescent="0.2">
      <c r="A190" s="604" t="s">
        <v>1416</v>
      </c>
      <c r="B190" s="602" t="s">
        <v>1209</v>
      </c>
      <c r="C190" s="544">
        <v>100</v>
      </c>
      <c r="D190" s="543" t="s">
        <v>1049</v>
      </c>
      <c r="E190" s="544">
        <v>10000</v>
      </c>
      <c r="F190" s="544">
        <v>2000</v>
      </c>
      <c r="G190" s="545">
        <f t="shared" ref="G190" si="197">E190+F190</f>
        <v>12000</v>
      </c>
      <c r="H190" s="563">
        <v>12</v>
      </c>
      <c r="I190" s="546">
        <v>8</v>
      </c>
      <c r="J190" s="545">
        <f t="shared" ref="J190" si="198">H190+I190</f>
        <v>20</v>
      </c>
      <c r="K190" s="545">
        <f t="shared" ref="K190" si="199">J190%*G190</f>
        <v>2400</v>
      </c>
      <c r="L190" s="545">
        <f t="shared" ref="L190" si="200">5%*((G190)+(K190))</f>
        <v>720</v>
      </c>
      <c r="M190" s="545">
        <f t="shared" ref="M190" si="201">K190+L190</f>
        <v>3120</v>
      </c>
      <c r="N190" s="547">
        <f t="shared" ref="N190" si="202">(+M190+G190)*C190</f>
        <v>1512000</v>
      </c>
      <c r="O190" s="545">
        <f t="shared" ref="O190" si="203">N190/C190</f>
        <v>15120</v>
      </c>
    </row>
    <row r="191" spans="1:16" ht="21" x14ac:dyDescent="0.2">
      <c r="A191" s="549"/>
      <c r="B191" s="566"/>
      <c r="C191" s="544"/>
      <c r="D191" s="543"/>
      <c r="E191" s="544"/>
      <c r="F191" s="544"/>
      <c r="G191" s="603"/>
      <c r="H191" s="552"/>
      <c r="I191" s="552"/>
      <c r="J191" s="552"/>
      <c r="K191" s="552"/>
      <c r="L191" s="552"/>
      <c r="M191" s="554" t="s">
        <v>343</v>
      </c>
      <c r="N191" s="555">
        <f>SUM(N190:N190)</f>
        <v>1512000</v>
      </c>
      <c r="O191" s="544"/>
      <c r="P191" s="370">
        <f>N191</f>
        <v>1512000</v>
      </c>
    </row>
    <row r="192" spans="1:16" ht="22" x14ac:dyDescent="0.25">
      <c r="A192" s="531">
        <v>5</v>
      </c>
      <c r="B192" s="532" t="s">
        <v>1091</v>
      </c>
      <c r="C192" s="533"/>
      <c r="D192" s="534"/>
      <c r="E192" s="533"/>
      <c r="F192" s="533"/>
      <c r="G192" s="535"/>
      <c r="H192" s="536"/>
      <c r="I192" s="536"/>
      <c r="J192" s="537"/>
      <c r="K192" s="537"/>
      <c r="L192" s="537"/>
      <c r="M192" s="536"/>
      <c r="N192" s="538"/>
      <c r="O192" s="539"/>
    </row>
    <row r="193" spans="1:16" ht="22" x14ac:dyDescent="0.2">
      <c r="A193" s="591">
        <f>+A192+0.1</f>
        <v>5.0999999999999996</v>
      </c>
      <c r="B193" s="615" t="s">
        <v>1120</v>
      </c>
      <c r="C193" s="616"/>
      <c r="D193" s="617"/>
      <c r="E193" s="616"/>
      <c r="F193" s="546"/>
      <c r="G193" s="552"/>
      <c r="H193" s="545"/>
      <c r="I193" s="552"/>
      <c r="J193" s="552"/>
      <c r="K193" s="552"/>
      <c r="L193" s="552"/>
      <c r="M193" s="552"/>
      <c r="N193" s="605"/>
      <c r="O193" s="546"/>
    </row>
    <row r="194" spans="1:16" ht="22" x14ac:dyDescent="0.2">
      <c r="A194" s="570" t="s">
        <v>1224</v>
      </c>
      <c r="B194" s="618" t="s">
        <v>1111</v>
      </c>
      <c r="C194" s="596">
        <f>368.42*1.1</f>
        <v>405.26200000000006</v>
      </c>
      <c r="D194" s="524" t="s">
        <v>98</v>
      </c>
      <c r="E194" s="596">
        <v>139.5</v>
      </c>
      <c r="F194" s="569">
        <f>+E194*0.4</f>
        <v>55.800000000000004</v>
      </c>
      <c r="G194" s="545">
        <f t="shared" ref="G194:G199" si="204">E194+F194</f>
        <v>195.3</v>
      </c>
      <c r="H194" s="563">
        <v>12</v>
      </c>
      <c r="I194" s="546">
        <v>8</v>
      </c>
      <c r="J194" s="545">
        <f t="shared" ref="J194:J199" si="205">H194+I194</f>
        <v>20</v>
      </c>
      <c r="K194" s="545">
        <f t="shared" ref="K194:K199" si="206">J194%*G194</f>
        <v>39.06</v>
      </c>
      <c r="L194" s="545">
        <f t="shared" ref="L194:L199" si="207">5%*((G194)+(K194))</f>
        <v>11.718000000000002</v>
      </c>
      <c r="M194" s="545">
        <f t="shared" ref="M194:M199" si="208">K194+L194</f>
        <v>50.778000000000006</v>
      </c>
      <c r="N194" s="547">
        <f t="shared" ref="N194:N199" si="209">(+M194+G194)*C194</f>
        <v>99726.062436000022</v>
      </c>
      <c r="O194" s="545">
        <f t="shared" ref="O194:O199" si="210">N194/C194</f>
        <v>246.07800000000003</v>
      </c>
    </row>
    <row r="195" spans="1:16" ht="22" x14ac:dyDescent="0.2">
      <c r="A195" s="570" t="s">
        <v>1225</v>
      </c>
      <c r="B195" s="618" t="s">
        <v>1112</v>
      </c>
      <c r="C195" s="596">
        <f>385.76*1.1</f>
        <v>424.33600000000001</v>
      </c>
      <c r="D195" s="524" t="s">
        <v>98</v>
      </c>
      <c r="E195" s="596">
        <v>95</v>
      </c>
      <c r="F195" s="569">
        <f>+E195*0.4</f>
        <v>38</v>
      </c>
      <c r="G195" s="545">
        <f t="shared" si="204"/>
        <v>133</v>
      </c>
      <c r="H195" s="563">
        <v>12</v>
      </c>
      <c r="I195" s="546">
        <v>8</v>
      </c>
      <c r="J195" s="545">
        <f t="shared" si="205"/>
        <v>20</v>
      </c>
      <c r="K195" s="545">
        <f t="shared" si="206"/>
        <v>26.6</v>
      </c>
      <c r="L195" s="545">
        <f t="shared" si="207"/>
        <v>7.98</v>
      </c>
      <c r="M195" s="545">
        <f t="shared" si="208"/>
        <v>34.58</v>
      </c>
      <c r="N195" s="547">
        <f t="shared" si="209"/>
        <v>71110.226880000002</v>
      </c>
      <c r="O195" s="545">
        <f t="shared" si="210"/>
        <v>167.58</v>
      </c>
    </row>
    <row r="196" spans="1:16" ht="22" x14ac:dyDescent="0.2">
      <c r="A196" s="570" t="s">
        <v>1226</v>
      </c>
      <c r="B196" s="618" t="s">
        <v>1093</v>
      </c>
      <c r="C196" s="596">
        <f>747.6*1.1</f>
        <v>822.36000000000013</v>
      </c>
      <c r="D196" s="524" t="s">
        <v>98</v>
      </c>
      <c r="E196" s="596">
        <v>121</v>
      </c>
      <c r="F196" s="569">
        <f t="shared" ref="F196" si="211">+E196*0.4</f>
        <v>48.400000000000006</v>
      </c>
      <c r="G196" s="545">
        <f t="shared" si="204"/>
        <v>169.4</v>
      </c>
      <c r="H196" s="563">
        <v>12</v>
      </c>
      <c r="I196" s="546">
        <v>8</v>
      </c>
      <c r="J196" s="545">
        <f t="shared" si="205"/>
        <v>20</v>
      </c>
      <c r="K196" s="545">
        <f t="shared" si="206"/>
        <v>33.880000000000003</v>
      </c>
      <c r="L196" s="545">
        <f t="shared" si="207"/>
        <v>10.164000000000001</v>
      </c>
      <c r="M196" s="545">
        <f t="shared" si="208"/>
        <v>44.044000000000004</v>
      </c>
      <c r="N196" s="547">
        <f t="shared" si="209"/>
        <v>175527.80784000005</v>
      </c>
      <c r="O196" s="545">
        <f t="shared" si="210"/>
        <v>213.44400000000002</v>
      </c>
    </row>
    <row r="197" spans="1:16" ht="22" x14ac:dyDescent="0.2">
      <c r="A197" s="570" t="s">
        <v>1227</v>
      </c>
      <c r="B197" s="565" t="s">
        <v>1114</v>
      </c>
      <c r="C197" s="596">
        <f>128.02</f>
        <v>128.02000000000001</v>
      </c>
      <c r="D197" s="575" t="s">
        <v>298</v>
      </c>
      <c r="E197" s="572">
        <v>70</v>
      </c>
      <c r="F197" s="569">
        <v>10</v>
      </c>
      <c r="G197" s="545">
        <f t="shared" si="204"/>
        <v>80</v>
      </c>
      <c r="H197" s="563">
        <v>12</v>
      </c>
      <c r="I197" s="546">
        <v>8</v>
      </c>
      <c r="J197" s="545">
        <f t="shared" si="205"/>
        <v>20</v>
      </c>
      <c r="K197" s="545">
        <f t="shared" si="206"/>
        <v>16</v>
      </c>
      <c r="L197" s="545">
        <f t="shared" si="207"/>
        <v>4.8000000000000007</v>
      </c>
      <c r="M197" s="545">
        <f t="shared" si="208"/>
        <v>20.8</v>
      </c>
      <c r="N197" s="547">
        <f t="shared" si="209"/>
        <v>12904.416000000001</v>
      </c>
      <c r="O197" s="545">
        <f t="shared" si="210"/>
        <v>100.8</v>
      </c>
    </row>
    <row r="198" spans="1:16" ht="22" x14ac:dyDescent="0.2">
      <c r="A198" s="570" t="s">
        <v>1228</v>
      </c>
      <c r="B198" s="618" t="s">
        <v>1493</v>
      </c>
      <c r="C198" s="596">
        <v>1</v>
      </c>
      <c r="D198" s="575" t="s">
        <v>5</v>
      </c>
      <c r="E198" s="596">
        <v>5000</v>
      </c>
      <c r="F198" s="569">
        <v>2000</v>
      </c>
      <c r="G198" s="545">
        <f t="shared" si="204"/>
        <v>7000</v>
      </c>
      <c r="H198" s="563">
        <v>12</v>
      </c>
      <c r="I198" s="546">
        <v>8</v>
      </c>
      <c r="J198" s="545">
        <f t="shared" si="205"/>
        <v>20</v>
      </c>
      <c r="K198" s="545">
        <f t="shared" si="206"/>
        <v>1400</v>
      </c>
      <c r="L198" s="545">
        <f t="shared" si="207"/>
        <v>420</v>
      </c>
      <c r="M198" s="545">
        <f t="shared" si="208"/>
        <v>1820</v>
      </c>
      <c r="N198" s="547">
        <f t="shared" si="209"/>
        <v>8820</v>
      </c>
      <c r="O198" s="545">
        <f t="shared" si="210"/>
        <v>8820</v>
      </c>
    </row>
    <row r="199" spans="1:16" ht="22" x14ac:dyDescent="0.2">
      <c r="A199" s="570" t="s">
        <v>1229</v>
      </c>
      <c r="B199" s="619" t="s">
        <v>1095</v>
      </c>
      <c r="C199" s="596">
        <v>1</v>
      </c>
      <c r="D199" s="575" t="s">
        <v>5</v>
      </c>
      <c r="E199" s="596">
        <v>5000</v>
      </c>
      <c r="F199" s="569">
        <v>1500</v>
      </c>
      <c r="G199" s="545">
        <f t="shared" si="204"/>
        <v>6500</v>
      </c>
      <c r="H199" s="563">
        <v>12</v>
      </c>
      <c r="I199" s="546">
        <v>8</v>
      </c>
      <c r="J199" s="545">
        <f t="shared" si="205"/>
        <v>20</v>
      </c>
      <c r="K199" s="545">
        <f t="shared" si="206"/>
        <v>1300</v>
      </c>
      <c r="L199" s="545">
        <f t="shared" si="207"/>
        <v>390</v>
      </c>
      <c r="M199" s="545">
        <f t="shared" si="208"/>
        <v>1690</v>
      </c>
      <c r="N199" s="547">
        <f t="shared" si="209"/>
        <v>8190</v>
      </c>
      <c r="O199" s="545">
        <f t="shared" si="210"/>
        <v>8190</v>
      </c>
    </row>
    <row r="200" spans="1:16" ht="21" x14ac:dyDescent="0.2">
      <c r="A200" s="594"/>
      <c r="B200" s="595"/>
      <c r="C200" s="596"/>
      <c r="D200" s="575"/>
      <c r="E200" s="596"/>
      <c r="F200" s="569"/>
      <c r="G200" s="597"/>
      <c r="H200" s="597"/>
      <c r="I200" s="597"/>
      <c r="J200" s="597"/>
      <c r="K200" s="597"/>
      <c r="L200" s="597"/>
      <c r="M200" s="554" t="s">
        <v>343</v>
      </c>
      <c r="N200" s="555">
        <f>SUM(N194:N199)</f>
        <v>376278.51315600012</v>
      </c>
      <c r="O200" s="569"/>
      <c r="P200" s="370">
        <f>N200</f>
        <v>376278.51315600012</v>
      </c>
    </row>
    <row r="201" spans="1:16" ht="22" x14ac:dyDescent="0.25">
      <c r="A201" s="587">
        <f>+A193+0.1</f>
        <v>5.1999999999999993</v>
      </c>
      <c r="B201" s="615" t="s">
        <v>1096</v>
      </c>
      <c r="C201" s="616"/>
      <c r="D201" s="617"/>
      <c r="E201" s="616"/>
      <c r="F201" s="546"/>
      <c r="G201" s="552"/>
      <c r="H201" s="552"/>
      <c r="I201" s="552"/>
      <c r="J201" s="552"/>
      <c r="K201" s="552"/>
      <c r="L201" s="552"/>
      <c r="M201" s="552"/>
      <c r="N201" s="578"/>
      <c r="O201" s="589"/>
    </row>
    <row r="202" spans="1:16" ht="22" x14ac:dyDescent="0.2">
      <c r="A202" s="570" t="s">
        <v>1230</v>
      </c>
      <c r="B202" s="618" t="s">
        <v>1097</v>
      </c>
      <c r="C202" s="596">
        <f>(442.975*1.1)/0.7</f>
        <v>696.10357142857151</v>
      </c>
      <c r="D202" s="575" t="s">
        <v>98</v>
      </c>
      <c r="E202" s="596">
        <v>400</v>
      </c>
      <c r="F202" s="569">
        <f>+E202*0.4</f>
        <v>160</v>
      </c>
      <c r="G202" s="545">
        <f t="shared" ref="G202:G207" si="212">E202+F202</f>
        <v>560</v>
      </c>
      <c r="H202" s="563">
        <v>12</v>
      </c>
      <c r="I202" s="546">
        <v>8</v>
      </c>
      <c r="J202" s="545">
        <f t="shared" ref="J202:J207" si="213">H202+I202</f>
        <v>20</v>
      </c>
      <c r="K202" s="545">
        <f t="shared" ref="K202:K207" si="214">J202%*G202</f>
        <v>112</v>
      </c>
      <c r="L202" s="545">
        <f t="shared" ref="L202:L207" si="215">5%*((G202)+(K202))</f>
        <v>33.6</v>
      </c>
      <c r="M202" s="545">
        <f t="shared" ref="M202:M207" si="216">K202+L202</f>
        <v>145.6</v>
      </c>
      <c r="N202" s="547">
        <f t="shared" ref="N202:N207" si="217">(+M202+G202)*C202</f>
        <v>491170.68000000005</v>
      </c>
      <c r="O202" s="545">
        <f t="shared" ref="O202:O207" si="218">N202/C202</f>
        <v>705.6</v>
      </c>
    </row>
    <row r="203" spans="1:16" ht="22" x14ac:dyDescent="0.2">
      <c r="A203" s="570" t="s">
        <v>1231</v>
      </c>
      <c r="B203" s="618" t="s">
        <v>1098</v>
      </c>
      <c r="C203" s="596">
        <f>106.45*1.1</f>
        <v>117.09500000000001</v>
      </c>
      <c r="D203" s="575" t="s">
        <v>98</v>
      </c>
      <c r="E203" s="596">
        <v>230</v>
      </c>
      <c r="F203" s="569">
        <f t="shared" ref="F203:F207" si="219">+E203*0.4</f>
        <v>92</v>
      </c>
      <c r="G203" s="545">
        <f t="shared" si="212"/>
        <v>322</v>
      </c>
      <c r="H203" s="563">
        <v>12</v>
      </c>
      <c r="I203" s="546">
        <v>8</v>
      </c>
      <c r="J203" s="545">
        <f t="shared" si="213"/>
        <v>20</v>
      </c>
      <c r="K203" s="545">
        <f t="shared" si="214"/>
        <v>64.400000000000006</v>
      </c>
      <c r="L203" s="545">
        <f t="shared" si="215"/>
        <v>19.32</v>
      </c>
      <c r="M203" s="545">
        <f t="shared" si="216"/>
        <v>83.72</v>
      </c>
      <c r="N203" s="547">
        <f t="shared" si="217"/>
        <v>47507.783400000008</v>
      </c>
      <c r="O203" s="545">
        <f t="shared" si="218"/>
        <v>405.72</v>
      </c>
    </row>
    <row r="204" spans="1:16" ht="22" x14ac:dyDescent="0.2">
      <c r="A204" s="570" t="s">
        <v>1232</v>
      </c>
      <c r="B204" s="618" t="s">
        <v>1115</v>
      </c>
      <c r="C204" s="596">
        <f>63.5*1.1</f>
        <v>69.850000000000009</v>
      </c>
      <c r="D204" s="575" t="s">
        <v>98</v>
      </c>
      <c r="E204" s="596">
        <v>230</v>
      </c>
      <c r="F204" s="569">
        <f t="shared" si="219"/>
        <v>92</v>
      </c>
      <c r="G204" s="545">
        <f t="shared" si="212"/>
        <v>322</v>
      </c>
      <c r="H204" s="563">
        <v>12</v>
      </c>
      <c r="I204" s="546">
        <v>8</v>
      </c>
      <c r="J204" s="545">
        <f t="shared" si="213"/>
        <v>20</v>
      </c>
      <c r="K204" s="545">
        <f t="shared" si="214"/>
        <v>64.400000000000006</v>
      </c>
      <c r="L204" s="545">
        <f t="shared" si="215"/>
        <v>19.32</v>
      </c>
      <c r="M204" s="545">
        <f t="shared" si="216"/>
        <v>83.72</v>
      </c>
      <c r="N204" s="547">
        <f t="shared" si="217"/>
        <v>28339.542000000005</v>
      </c>
      <c r="O204" s="545">
        <f t="shared" si="218"/>
        <v>405.72</v>
      </c>
    </row>
    <row r="205" spans="1:16" ht="22" x14ac:dyDescent="0.2">
      <c r="A205" s="570" t="s">
        <v>1233</v>
      </c>
      <c r="B205" s="620" t="s">
        <v>1199</v>
      </c>
      <c r="C205" s="596">
        <v>22</v>
      </c>
      <c r="D205" s="575" t="s">
        <v>352</v>
      </c>
      <c r="E205" s="596">
        <v>101</v>
      </c>
      <c r="F205" s="569">
        <f t="shared" si="219"/>
        <v>40.400000000000006</v>
      </c>
      <c r="G205" s="545">
        <f>E205+F205</f>
        <v>141.4</v>
      </c>
      <c r="H205" s="563">
        <v>12</v>
      </c>
      <c r="I205" s="546">
        <v>8</v>
      </c>
      <c r="J205" s="545">
        <f>H205+I205</f>
        <v>20</v>
      </c>
      <c r="K205" s="545">
        <f>J205%*G205</f>
        <v>28.28</v>
      </c>
      <c r="L205" s="545">
        <f>5%*((G205)+(K205))</f>
        <v>8.484</v>
      </c>
      <c r="M205" s="545">
        <f>K205+L205</f>
        <v>36.764000000000003</v>
      </c>
      <c r="N205" s="547">
        <f>(+M205+G205)*C205</f>
        <v>3919.6080000000002</v>
      </c>
      <c r="O205" s="545">
        <f>N205/C205</f>
        <v>178.16400000000002</v>
      </c>
    </row>
    <row r="206" spans="1:16" ht="22" x14ac:dyDescent="0.2">
      <c r="A206" s="570" t="s">
        <v>1234</v>
      </c>
      <c r="B206" s="620" t="s">
        <v>1099</v>
      </c>
      <c r="C206" s="596">
        <f>C202*0.7</f>
        <v>487.27250000000004</v>
      </c>
      <c r="D206" s="575" t="s">
        <v>892</v>
      </c>
      <c r="E206" s="596">
        <v>120</v>
      </c>
      <c r="F206" s="569">
        <f t="shared" si="219"/>
        <v>48</v>
      </c>
      <c r="G206" s="545">
        <f>E206+F206</f>
        <v>168</v>
      </c>
      <c r="H206" s="563">
        <v>12</v>
      </c>
      <c r="I206" s="546">
        <v>8</v>
      </c>
      <c r="J206" s="545">
        <f>H206+I206</f>
        <v>20</v>
      </c>
      <c r="K206" s="545">
        <f>J206%*G206</f>
        <v>33.6</v>
      </c>
      <c r="L206" s="545">
        <f>5%*((G206)+(K206))</f>
        <v>10.08</v>
      </c>
      <c r="M206" s="545">
        <f>K206+L206</f>
        <v>43.68</v>
      </c>
      <c r="N206" s="547">
        <f>(+M206+G206)*C206</f>
        <v>103145.84280000001</v>
      </c>
      <c r="O206" s="545">
        <f>N206/C206</f>
        <v>211.68</v>
      </c>
    </row>
    <row r="207" spans="1:16" ht="22" x14ac:dyDescent="0.2">
      <c r="A207" s="570" t="s">
        <v>1235</v>
      </c>
      <c r="B207" s="620" t="s">
        <v>1100</v>
      </c>
      <c r="C207" s="596">
        <v>1</v>
      </c>
      <c r="D207" s="575" t="s">
        <v>5</v>
      </c>
      <c r="E207" s="596">
        <v>3000</v>
      </c>
      <c r="F207" s="569">
        <f t="shared" si="219"/>
        <v>1200</v>
      </c>
      <c r="G207" s="545">
        <f t="shared" si="212"/>
        <v>4200</v>
      </c>
      <c r="H207" s="563">
        <v>12</v>
      </c>
      <c r="I207" s="546">
        <v>8</v>
      </c>
      <c r="J207" s="545">
        <f t="shared" si="213"/>
        <v>20</v>
      </c>
      <c r="K207" s="545">
        <f t="shared" si="214"/>
        <v>840</v>
      </c>
      <c r="L207" s="545">
        <f t="shared" si="215"/>
        <v>252</v>
      </c>
      <c r="M207" s="545">
        <f t="shared" si="216"/>
        <v>1092</v>
      </c>
      <c r="N207" s="547">
        <f t="shared" si="217"/>
        <v>5292</v>
      </c>
      <c r="O207" s="545">
        <f t="shared" si="218"/>
        <v>5292</v>
      </c>
    </row>
    <row r="208" spans="1:16" ht="21" x14ac:dyDescent="0.2">
      <c r="A208" s="570"/>
      <c r="B208" s="595"/>
      <c r="C208" s="596"/>
      <c r="D208" s="575"/>
      <c r="E208" s="596"/>
      <c r="F208" s="569"/>
      <c r="G208" s="597"/>
      <c r="H208" s="597"/>
      <c r="I208" s="597"/>
      <c r="J208" s="597"/>
      <c r="K208" s="597"/>
      <c r="L208" s="597"/>
      <c r="M208" s="554" t="s">
        <v>343</v>
      </c>
      <c r="N208" s="555">
        <f>SUM(N202:N207)</f>
        <v>679375.45620000002</v>
      </c>
      <c r="O208" s="586"/>
      <c r="P208" s="370">
        <f>N208</f>
        <v>679375.45620000002</v>
      </c>
    </row>
    <row r="209" spans="1:16" ht="22" x14ac:dyDescent="0.2">
      <c r="A209" s="591">
        <v>5.3</v>
      </c>
      <c r="B209" s="615" t="s">
        <v>1511</v>
      </c>
      <c r="C209" s="616"/>
      <c r="D209" s="617"/>
      <c r="E209" s="616"/>
      <c r="F209" s="546"/>
      <c r="G209" s="552"/>
      <c r="H209" s="545"/>
      <c r="I209" s="552"/>
      <c r="J209" s="552"/>
      <c r="K209" s="552"/>
      <c r="L209" s="552"/>
      <c r="M209" s="552"/>
      <c r="N209" s="605"/>
      <c r="O209" s="546"/>
    </row>
    <row r="210" spans="1:16" ht="22" x14ac:dyDescent="0.2">
      <c r="A210" s="570" t="s">
        <v>1236</v>
      </c>
      <c r="B210" s="598" t="s">
        <v>1501</v>
      </c>
      <c r="C210" s="596">
        <f>51.6*1.1</f>
        <v>56.760000000000005</v>
      </c>
      <c r="D210" s="575" t="s">
        <v>892</v>
      </c>
      <c r="E210" s="621">
        <v>3000</v>
      </c>
      <c r="F210" s="621">
        <v>1000</v>
      </c>
      <c r="G210" s="622">
        <f>E210+F210</f>
        <v>4000</v>
      </c>
      <c r="H210" s="563">
        <v>12</v>
      </c>
      <c r="I210" s="546">
        <v>8</v>
      </c>
      <c r="J210" s="622">
        <f>H210+I210</f>
        <v>20</v>
      </c>
      <c r="K210" s="622">
        <f>J210%*G210</f>
        <v>800</v>
      </c>
      <c r="L210" s="622">
        <f>5%*((G210)+(K210))</f>
        <v>240</v>
      </c>
      <c r="M210" s="622">
        <f>K210+L210</f>
        <v>1040</v>
      </c>
      <c r="N210" s="621">
        <f>(+M210+G210)*C210</f>
        <v>286070.40000000002</v>
      </c>
      <c r="O210" s="622">
        <f>N210/C210</f>
        <v>5040</v>
      </c>
    </row>
    <row r="211" spans="1:16" ht="22" x14ac:dyDescent="0.2">
      <c r="A211" s="570" t="s">
        <v>1237</v>
      </c>
      <c r="B211" s="618" t="s">
        <v>1111</v>
      </c>
      <c r="C211" s="596">
        <v>30</v>
      </c>
      <c r="D211" s="524" t="s">
        <v>98</v>
      </c>
      <c r="E211" s="596">
        <f>E194</f>
        <v>139.5</v>
      </c>
      <c r="F211" s="569">
        <f>+E211*0.4</f>
        <v>55.800000000000004</v>
      </c>
      <c r="G211" s="545">
        <f t="shared" ref="G211:G219" si="220">E211+F211</f>
        <v>195.3</v>
      </c>
      <c r="H211" s="563">
        <v>12</v>
      </c>
      <c r="I211" s="546">
        <v>8</v>
      </c>
      <c r="J211" s="545">
        <f t="shared" ref="J211:J219" si="221">H211+I211</f>
        <v>20</v>
      </c>
      <c r="K211" s="545">
        <f t="shared" ref="K211:K219" si="222">J211%*G211</f>
        <v>39.06</v>
      </c>
      <c r="L211" s="545">
        <f t="shared" ref="L211:L219" si="223">5%*((G211)+(K211))</f>
        <v>11.718000000000002</v>
      </c>
      <c r="M211" s="545">
        <f t="shared" ref="M211:M219" si="224">K211+L211</f>
        <v>50.778000000000006</v>
      </c>
      <c r="N211" s="547">
        <f t="shared" ref="N211:N219" si="225">(+M211+G211)*C211</f>
        <v>7382.3400000000011</v>
      </c>
      <c r="O211" s="545">
        <f t="shared" ref="O211:O219" si="226">N211/C211</f>
        <v>246.07800000000003</v>
      </c>
    </row>
    <row r="212" spans="1:16" ht="22" x14ac:dyDescent="0.2">
      <c r="A212" s="570" t="s">
        <v>1238</v>
      </c>
      <c r="B212" s="618" t="s">
        <v>1193</v>
      </c>
      <c r="C212" s="596">
        <v>132</v>
      </c>
      <c r="D212" s="524" t="s">
        <v>98</v>
      </c>
      <c r="E212" s="596">
        <v>70</v>
      </c>
      <c r="F212" s="569">
        <f t="shared" ref="F212:F219" si="227">+E212*0.4</f>
        <v>28</v>
      </c>
      <c r="G212" s="545">
        <f t="shared" si="220"/>
        <v>98</v>
      </c>
      <c r="H212" s="563">
        <v>12</v>
      </c>
      <c r="I212" s="546">
        <v>8</v>
      </c>
      <c r="J212" s="545">
        <f t="shared" si="221"/>
        <v>20</v>
      </c>
      <c r="K212" s="545">
        <f t="shared" si="222"/>
        <v>19.600000000000001</v>
      </c>
      <c r="L212" s="545">
        <f t="shared" si="223"/>
        <v>5.88</v>
      </c>
      <c r="M212" s="545">
        <f t="shared" si="224"/>
        <v>25.48</v>
      </c>
      <c r="N212" s="547">
        <f t="shared" si="225"/>
        <v>16299.36</v>
      </c>
      <c r="O212" s="545">
        <f t="shared" si="226"/>
        <v>123.48</v>
      </c>
    </row>
    <row r="213" spans="1:16" ht="22" x14ac:dyDescent="0.2">
      <c r="A213" s="570" t="s">
        <v>1239</v>
      </c>
      <c r="B213" s="618" t="s">
        <v>1195</v>
      </c>
      <c r="C213" s="596">
        <v>48</v>
      </c>
      <c r="D213" s="524" t="s">
        <v>98</v>
      </c>
      <c r="E213" s="596">
        <v>110</v>
      </c>
      <c r="F213" s="569">
        <f t="shared" si="227"/>
        <v>44</v>
      </c>
      <c r="G213" s="545">
        <f t="shared" si="220"/>
        <v>154</v>
      </c>
      <c r="H213" s="563">
        <v>12</v>
      </c>
      <c r="I213" s="546">
        <v>8</v>
      </c>
      <c r="J213" s="545">
        <f t="shared" si="221"/>
        <v>20</v>
      </c>
      <c r="K213" s="545">
        <f t="shared" si="222"/>
        <v>30.8</v>
      </c>
      <c r="L213" s="545">
        <f t="shared" si="223"/>
        <v>9.24</v>
      </c>
      <c r="M213" s="545">
        <f t="shared" si="224"/>
        <v>40.04</v>
      </c>
      <c r="N213" s="547">
        <f t="shared" si="225"/>
        <v>9313.92</v>
      </c>
      <c r="O213" s="545">
        <f t="shared" si="226"/>
        <v>194.04</v>
      </c>
    </row>
    <row r="214" spans="1:16" ht="22" x14ac:dyDescent="0.2">
      <c r="A214" s="570" t="s">
        <v>1240</v>
      </c>
      <c r="B214" s="618" t="s">
        <v>1194</v>
      </c>
      <c r="C214" s="596">
        <v>48</v>
      </c>
      <c r="D214" s="524" t="s">
        <v>98</v>
      </c>
      <c r="E214" s="572">
        <v>125</v>
      </c>
      <c r="F214" s="569">
        <f t="shared" si="227"/>
        <v>50</v>
      </c>
      <c r="G214" s="545">
        <f>E214+F214</f>
        <v>175</v>
      </c>
      <c r="H214" s="563">
        <v>12</v>
      </c>
      <c r="I214" s="546">
        <v>8</v>
      </c>
      <c r="J214" s="545">
        <f>H214+I214</f>
        <v>20</v>
      </c>
      <c r="K214" s="545">
        <f>J214%*G214</f>
        <v>35</v>
      </c>
      <c r="L214" s="545">
        <f>5%*((G214)+(K214))</f>
        <v>10.5</v>
      </c>
      <c r="M214" s="545">
        <f>K214+L214</f>
        <v>45.5</v>
      </c>
      <c r="N214" s="547">
        <f>(+M214+G214)*C214</f>
        <v>10584</v>
      </c>
      <c r="O214" s="545">
        <f>N214/C214</f>
        <v>220.5</v>
      </c>
    </row>
    <row r="215" spans="1:16" ht="22" x14ac:dyDescent="0.2">
      <c r="A215" s="570" t="s">
        <v>1241</v>
      </c>
      <c r="B215" s="618" t="s">
        <v>1197</v>
      </c>
      <c r="C215" s="596">
        <v>258</v>
      </c>
      <c r="D215" s="575" t="s">
        <v>98</v>
      </c>
      <c r="E215" s="596">
        <v>180</v>
      </c>
      <c r="F215" s="569">
        <f t="shared" si="227"/>
        <v>72</v>
      </c>
      <c r="G215" s="545">
        <f t="shared" si="220"/>
        <v>252</v>
      </c>
      <c r="H215" s="563">
        <v>12</v>
      </c>
      <c r="I215" s="546">
        <v>8</v>
      </c>
      <c r="J215" s="545">
        <f t="shared" si="221"/>
        <v>20</v>
      </c>
      <c r="K215" s="545">
        <f t="shared" si="222"/>
        <v>50.400000000000006</v>
      </c>
      <c r="L215" s="545">
        <f t="shared" si="223"/>
        <v>15.12</v>
      </c>
      <c r="M215" s="545">
        <f t="shared" si="224"/>
        <v>65.52000000000001</v>
      </c>
      <c r="N215" s="547">
        <f t="shared" si="225"/>
        <v>81920.159999999989</v>
      </c>
      <c r="O215" s="545">
        <f t="shared" si="226"/>
        <v>317.52</v>
      </c>
    </row>
    <row r="216" spans="1:16" ht="22" x14ac:dyDescent="0.2">
      <c r="A216" s="570" t="s">
        <v>1242</v>
      </c>
      <c r="B216" s="618" t="s">
        <v>1196</v>
      </c>
      <c r="C216" s="596">
        <v>258</v>
      </c>
      <c r="D216" s="575" t="s">
        <v>98</v>
      </c>
      <c r="E216" s="596">
        <v>90</v>
      </c>
      <c r="F216" s="569">
        <f t="shared" si="227"/>
        <v>36</v>
      </c>
      <c r="G216" s="545">
        <f>E216+F216</f>
        <v>126</v>
      </c>
      <c r="H216" s="563">
        <v>12</v>
      </c>
      <c r="I216" s="546">
        <v>8</v>
      </c>
      <c r="J216" s="545">
        <f>H216+I216</f>
        <v>20</v>
      </c>
      <c r="K216" s="545">
        <f>J216%*G216</f>
        <v>25.200000000000003</v>
      </c>
      <c r="L216" s="545">
        <f>5%*((G216)+(K216))</f>
        <v>7.56</v>
      </c>
      <c r="M216" s="545">
        <f>K216+L216</f>
        <v>32.760000000000005</v>
      </c>
      <c r="N216" s="547">
        <f>(+M216+G216)*C216</f>
        <v>40960.079999999994</v>
      </c>
      <c r="O216" s="545">
        <f>N216/C216</f>
        <v>158.76</v>
      </c>
    </row>
    <row r="217" spans="1:16" ht="22" x14ac:dyDescent="0.2">
      <c r="A217" s="570" t="s">
        <v>1243</v>
      </c>
      <c r="B217" s="623" t="s">
        <v>1116</v>
      </c>
      <c r="C217" s="596">
        <v>1</v>
      </c>
      <c r="D217" s="575" t="s">
        <v>5</v>
      </c>
      <c r="E217" s="624">
        <v>3000</v>
      </c>
      <c r="F217" s="569">
        <f t="shared" si="227"/>
        <v>1200</v>
      </c>
      <c r="G217" s="545">
        <f t="shared" ref="G217:G218" si="228">E217+F217</f>
        <v>4200</v>
      </c>
      <c r="H217" s="563">
        <v>12</v>
      </c>
      <c r="I217" s="546">
        <v>8</v>
      </c>
      <c r="J217" s="545">
        <f t="shared" ref="J217:J218" si="229">H217+I217</f>
        <v>20</v>
      </c>
      <c r="K217" s="545">
        <f t="shared" ref="K217:K218" si="230">J217%*G217</f>
        <v>840</v>
      </c>
      <c r="L217" s="545">
        <f t="shared" ref="L217:L218" si="231">5%*((G217)+(K217))</f>
        <v>252</v>
      </c>
      <c r="M217" s="545">
        <f t="shared" ref="M217:M218" si="232">K217+L217</f>
        <v>1092</v>
      </c>
      <c r="N217" s="547">
        <f t="shared" ref="N217:N218" si="233">(+M217+G217)*C217</f>
        <v>5292</v>
      </c>
      <c r="O217" s="545">
        <f t="shared" ref="O217:O218" si="234">N217/C217</f>
        <v>5292</v>
      </c>
    </row>
    <row r="218" spans="1:16" ht="22" x14ac:dyDescent="0.2">
      <c r="A218" s="570" t="s">
        <v>1244</v>
      </c>
      <c r="B218" s="618" t="s">
        <v>1403</v>
      </c>
      <c r="C218" s="596">
        <v>1</v>
      </c>
      <c r="D218" s="575" t="s">
        <v>5</v>
      </c>
      <c r="E218" s="624">
        <v>1500</v>
      </c>
      <c r="F218" s="569">
        <f t="shared" si="227"/>
        <v>600</v>
      </c>
      <c r="G218" s="545">
        <f t="shared" si="228"/>
        <v>2100</v>
      </c>
      <c r="H218" s="563">
        <v>12</v>
      </c>
      <c r="I218" s="546">
        <v>8</v>
      </c>
      <c r="J218" s="545">
        <f t="shared" si="229"/>
        <v>20</v>
      </c>
      <c r="K218" s="545">
        <f t="shared" si="230"/>
        <v>420</v>
      </c>
      <c r="L218" s="545">
        <f t="shared" si="231"/>
        <v>126</v>
      </c>
      <c r="M218" s="545">
        <f t="shared" si="232"/>
        <v>546</v>
      </c>
      <c r="N218" s="547">
        <f t="shared" si="233"/>
        <v>2646</v>
      </c>
      <c r="O218" s="545">
        <f t="shared" si="234"/>
        <v>2646</v>
      </c>
    </row>
    <row r="219" spans="1:16" ht="22" x14ac:dyDescent="0.2">
      <c r="A219" s="570" t="s">
        <v>1400</v>
      </c>
      <c r="B219" s="619" t="s">
        <v>1095</v>
      </c>
      <c r="C219" s="596">
        <v>1</v>
      </c>
      <c r="D219" s="575" t="s">
        <v>5</v>
      </c>
      <c r="E219" s="596">
        <v>5000</v>
      </c>
      <c r="F219" s="569">
        <f t="shared" si="227"/>
        <v>2000</v>
      </c>
      <c r="G219" s="545">
        <f t="shared" si="220"/>
        <v>7000</v>
      </c>
      <c r="H219" s="563">
        <v>12</v>
      </c>
      <c r="I219" s="546">
        <v>8</v>
      </c>
      <c r="J219" s="545">
        <f t="shared" si="221"/>
        <v>20</v>
      </c>
      <c r="K219" s="545">
        <f t="shared" si="222"/>
        <v>1400</v>
      </c>
      <c r="L219" s="545">
        <f t="shared" si="223"/>
        <v>420</v>
      </c>
      <c r="M219" s="545">
        <f t="shared" si="224"/>
        <v>1820</v>
      </c>
      <c r="N219" s="547">
        <f t="shared" si="225"/>
        <v>8820</v>
      </c>
      <c r="O219" s="545">
        <f t="shared" si="226"/>
        <v>8820</v>
      </c>
    </row>
    <row r="220" spans="1:16" ht="21" x14ac:dyDescent="0.2">
      <c r="A220" s="594"/>
      <c r="B220" s="595"/>
      <c r="C220" s="596"/>
      <c r="D220" s="575"/>
      <c r="E220" s="596"/>
      <c r="F220" s="569"/>
      <c r="G220" s="597"/>
      <c r="H220" s="597"/>
      <c r="I220" s="597"/>
      <c r="J220" s="597"/>
      <c r="K220" s="597"/>
      <c r="L220" s="597"/>
      <c r="M220" s="554" t="s">
        <v>343</v>
      </c>
      <c r="N220" s="555">
        <f>SUM(N210:N219)</f>
        <v>469288.26</v>
      </c>
      <c r="O220" s="569"/>
      <c r="P220" s="370">
        <f>N220</f>
        <v>469288.26</v>
      </c>
    </row>
    <row r="221" spans="1:16" ht="22" x14ac:dyDescent="0.2">
      <c r="A221" s="587">
        <v>5.4</v>
      </c>
      <c r="B221" s="615" t="s">
        <v>1504</v>
      </c>
      <c r="C221" s="616"/>
      <c r="D221" s="617"/>
      <c r="E221" s="616"/>
      <c r="F221" s="546"/>
      <c r="G221" s="552"/>
      <c r="H221" s="552"/>
      <c r="I221" s="552"/>
      <c r="J221" s="552"/>
      <c r="K221" s="552"/>
      <c r="L221" s="552"/>
      <c r="M221" s="552"/>
      <c r="N221" s="578"/>
      <c r="O221" s="546"/>
    </row>
    <row r="222" spans="1:16" ht="66" x14ac:dyDescent="0.2">
      <c r="A222" s="570" t="s">
        <v>1245</v>
      </c>
      <c r="B222" s="598" t="s">
        <v>1276</v>
      </c>
      <c r="C222" s="596">
        <v>1</v>
      </c>
      <c r="D222" s="524" t="s">
        <v>5</v>
      </c>
      <c r="E222" s="624">
        <v>100000</v>
      </c>
      <c r="F222" s="569">
        <f>+E222*0.4</f>
        <v>40000</v>
      </c>
      <c r="G222" s="545">
        <f>E222+F222</f>
        <v>140000</v>
      </c>
      <c r="H222" s="563">
        <v>12</v>
      </c>
      <c r="I222" s="546">
        <v>8</v>
      </c>
      <c r="J222" s="545">
        <f>H222+I222</f>
        <v>20</v>
      </c>
      <c r="K222" s="545">
        <f>J222%*G222</f>
        <v>28000</v>
      </c>
      <c r="L222" s="545">
        <f>5%*((G222)+(K222))</f>
        <v>8400</v>
      </c>
      <c r="M222" s="545">
        <f>K222+L222</f>
        <v>36400</v>
      </c>
      <c r="N222" s="547">
        <f>(+M222+G222)*C222</f>
        <v>176400</v>
      </c>
      <c r="O222" s="545">
        <f>N222/C222</f>
        <v>176400</v>
      </c>
    </row>
    <row r="223" spans="1:16" ht="22" x14ac:dyDescent="0.2">
      <c r="A223" s="570" t="s">
        <v>1246</v>
      </c>
      <c r="B223" s="598" t="s">
        <v>1500</v>
      </c>
      <c r="C223" s="596">
        <f>17.7*2</f>
        <v>35.4</v>
      </c>
      <c r="D223" s="575" t="s">
        <v>892</v>
      </c>
      <c r="E223" s="621">
        <v>3000</v>
      </c>
      <c r="F223" s="621">
        <f>F210</f>
        <v>1000</v>
      </c>
      <c r="G223" s="622">
        <f t="shared" ref="G223:G226" si="235">E223+F223</f>
        <v>4000</v>
      </c>
      <c r="H223" s="563">
        <v>12</v>
      </c>
      <c r="I223" s="546">
        <v>8</v>
      </c>
      <c r="J223" s="622">
        <f t="shared" ref="J223:J226" si="236">H223+I223</f>
        <v>20</v>
      </c>
      <c r="K223" s="622">
        <f t="shared" ref="K223:K226" si="237">J223%*G223</f>
        <v>800</v>
      </c>
      <c r="L223" s="622">
        <f t="shared" ref="L223:L226" si="238">5%*((G223)+(K223))</f>
        <v>240</v>
      </c>
      <c r="M223" s="622">
        <f t="shared" ref="M223:M226" si="239">K223+L223</f>
        <v>1040</v>
      </c>
      <c r="N223" s="621">
        <f t="shared" ref="N223:N226" si="240">(+M223+G223)*C223</f>
        <v>178416</v>
      </c>
      <c r="O223" s="622">
        <f t="shared" ref="O223:O226" si="241">N223/C223</f>
        <v>5040</v>
      </c>
    </row>
    <row r="224" spans="1:16" ht="22" x14ac:dyDescent="0.2">
      <c r="A224" s="570" t="s">
        <v>1247</v>
      </c>
      <c r="B224" s="598" t="s">
        <v>1487</v>
      </c>
      <c r="C224" s="596">
        <f>5.22*1.2</f>
        <v>6.2639999999999993</v>
      </c>
      <c r="D224" s="575" t="s">
        <v>892</v>
      </c>
      <c r="E224" s="596">
        <v>2500</v>
      </c>
      <c r="F224" s="569">
        <f>+E224*0.4</f>
        <v>1000</v>
      </c>
      <c r="G224" s="545">
        <f t="shared" si="235"/>
        <v>3500</v>
      </c>
      <c r="H224" s="563">
        <v>12</v>
      </c>
      <c r="I224" s="546">
        <v>8</v>
      </c>
      <c r="J224" s="545">
        <f t="shared" si="236"/>
        <v>20</v>
      </c>
      <c r="K224" s="545">
        <f t="shared" si="237"/>
        <v>700</v>
      </c>
      <c r="L224" s="545">
        <f t="shared" si="238"/>
        <v>210</v>
      </c>
      <c r="M224" s="545">
        <f t="shared" si="239"/>
        <v>910</v>
      </c>
      <c r="N224" s="547">
        <f t="shared" si="240"/>
        <v>27624.239999999998</v>
      </c>
      <c r="O224" s="545">
        <f t="shared" si="241"/>
        <v>4410</v>
      </c>
    </row>
    <row r="225" spans="1:17" ht="22" x14ac:dyDescent="0.2">
      <c r="A225" s="570" t="s">
        <v>1248</v>
      </c>
      <c r="B225" s="598" t="s">
        <v>1131</v>
      </c>
      <c r="C225" s="596">
        <v>12</v>
      </c>
      <c r="D225" s="575" t="s">
        <v>98</v>
      </c>
      <c r="E225" s="621">
        <v>75</v>
      </c>
      <c r="F225" s="621">
        <f t="shared" ref="F225" si="242">+E225*0.4</f>
        <v>30</v>
      </c>
      <c r="G225" s="622">
        <f t="shared" si="235"/>
        <v>105</v>
      </c>
      <c r="H225" s="563">
        <v>12</v>
      </c>
      <c r="I225" s="546">
        <v>8</v>
      </c>
      <c r="J225" s="622">
        <f t="shared" si="236"/>
        <v>20</v>
      </c>
      <c r="K225" s="622">
        <f t="shared" si="237"/>
        <v>21</v>
      </c>
      <c r="L225" s="622">
        <f t="shared" si="238"/>
        <v>6.3000000000000007</v>
      </c>
      <c r="M225" s="622">
        <f t="shared" si="239"/>
        <v>27.3</v>
      </c>
      <c r="N225" s="621">
        <f t="shared" si="240"/>
        <v>1587.6000000000001</v>
      </c>
      <c r="O225" s="622">
        <f t="shared" si="241"/>
        <v>132.30000000000001</v>
      </c>
    </row>
    <row r="226" spans="1:17" ht="22" x14ac:dyDescent="0.2">
      <c r="A226" s="570" t="s">
        <v>1249</v>
      </c>
      <c r="B226" s="618" t="s">
        <v>1138</v>
      </c>
      <c r="C226" s="596">
        <v>18</v>
      </c>
      <c r="D226" s="575" t="s">
        <v>98</v>
      </c>
      <c r="E226" s="596">
        <v>450</v>
      </c>
      <c r="F226" s="569">
        <f t="shared" ref="F226:F230" si="243">+E226*0.3</f>
        <v>135</v>
      </c>
      <c r="G226" s="545">
        <f t="shared" si="235"/>
        <v>585</v>
      </c>
      <c r="H226" s="563">
        <v>12</v>
      </c>
      <c r="I226" s="546">
        <v>8</v>
      </c>
      <c r="J226" s="545">
        <f t="shared" si="236"/>
        <v>20</v>
      </c>
      <c r="K226" s="545">
        <f t="shared" si="237"/>
        <v>117</v>
      </c>
      <c r="L226" s="545">
        <f t="shared" si="238"/>
        <v>35.1</v>
      </c>
      <c r="M226" s="545">
        <f t="shared" si="239"/>
        <v>152.1</v>
      </c>
      <c r="N226" s="547">
        <f t="shared" si="240"/>
        <v>13267.800000000001</v>
      </c>
      <c r="O226" s="545">
        <f t="shared" si="241"/>
        <v>737.1</v>
      </c>
    </row>
    <row r="227" spans="1:17" ht="22" x14ac:dyDescent="0.2">
      <c r="A227" s="570" t="s">
        <v>1250</v>
      </c>
      <c r="B227" s="618" t="s">
        <v>1139</v>
      </c>
      <c r="C227" s="596">
        <v>12</v>
      </c>
      <c r="D227" s="575" t="s">
        <v>98</v>
      </c>
      <c r="E227" s="596">
        <v>145</v>
      </c>
      <c r="F227" s="569">
        <f t="shared" si="243"/>
        <v>43.5</v>
      </c>
      <c r="G227" s="545">
        <f>E227+F227</f>
        <v>188.5</v>
      </c>
      <c r="H227" s="563">
        <v>12</v>
      </c>
      <c r="I227" s="546">
        <v>8</v>
      </c>
      <c r="J227" s="545">
        <f>H227+I227</f>
        <v>20</v>
      </c>
      <c r="K227" s="545">
        <f>J227%*G227</f>
        <v>37.700000000000003</v>
      </c>
      <c r="L227" s="545">
        <f>5%*((G227)+(K227))</f>
        <v>11.31</v>
      </c>
      <c r="M227" s="545">
        <f>K227+L227</f>
        <v>49.010000000000005</v>
      </c>
      <c r="N227" s="547">
        <f>(+M227+G227)*C227</f>
        <v>2850.12</v>
      </c>
      <c r="O227" s="545">
        <f>N227/C227</f>
        <v>237.51</v>
      </c>
    </row>
    <row r="228" spans="1:17" ht="22" x14ac:dyDescent="0.2">
      <c r="A228" s="570" t="s">
        <v>1251</v>
      </c>
      <c r="B228" s="623" t="s">
        <v>1190</v>
      </c>
      <c r="C228" s="596">
        <v>4</v>
      </c>
      <c r="D228" s="575" t="s">
        <v>352</v>
      </c>
      <c r="E228" s="596">
        <v>681</v>
      </c>
      <c r="F228" s="569">
        <f t="shared" si="243"/>
        <v>204.29999999999998</v>
      </c>
      <c r="G228" s="545">
        <f t="shared" ref="G228:G232" si="244">E228+F228</f>
        <v>885.3</v>
      </c>
      <c r="H228" s="563">
        <v>12</v>
      </c>
      <c r="I228" s="546">
        <v>8</v>
      </c>
      <c r="J228" s="545">
        <f t="shared" ref="J228:J232" si="245">H228+I228</f>
        <v>20</v>
      </c>
      <c r="K228" s="545">
        <f t="shared" ref="K228:K232" si="246">J228%*G228</f>
        <v>177.06</v>
      </c>
      <c r="L228" s="545">
        <f t="shared" ref="L228:L232" si="247">5%*((G228)+(K228))</f>
        <v>53.117999999999995</v>
      </c>
      <c r="M228" s="545">
        <f t="shared" ref="M228:M232" si="248">K228+L228</f>
        <v>230.178</v>
      </c>
      <c r="N228" s="547">
        <f t="shared" ref="N228:N232" si="249">(+M228+G228)*C228</f>
        <v>4461.9120000000003</v>
      </c>
      <c r="O228" s="545">
        <f t="shared" ref="O228:O232" si="250">N228/C228</f>
        <v>1115.4780000000001</v>
      </c>
    </row>
    <row r="229" spans="1:17" ht="22" x14ac:dyDescent="0.2">
      <c r="A229" s="570" t="s">
        <v>1252</v>
      </c>
      <c r="B229" s="620" t="s">
        <v>1133</v>
      </c>
      <c r="C229" s="596">
        <v>8</v>
      </c>
      <c r="D229" s="575" t="s">
        <v>1</v>
      </c>
      <c r="E229" s="596">
        <v>401</v>
      </c>
      <c r="F229" s="569">
        <f t="shared" si="243"/>
        <v>120.3</v>
      </c>
      <c r="G229" s="545">
        <f t="shared" si="244"/>
        <v>521.29999999999995</v>
      </c>
      <c r="H229" s="563">
        <v>12</v>
      </c>
      <c r="I229" s="546">
        <v>8</v>
      </c>
      <c r="J229" s="545">
        <f t="shared" si="245"/>
        <v>20</v>
      </c>
      <c r="K229" s="545">
        <f t="shared" si="246"/>
        <v>104.25999999999999</v>
      </c>
      <c r="L229" s="545">
        <f t="shared" si="247"/>
        <v>31.277999999999999</v>
      </c>
      <c r="M229" s="545">
        <f t="shared" si="248"/>
        <v>135.53799999999998</v>
      </c>
      <c r="N229" s="547">
        <f t="shared" si="249"/>
        <v>5254.7039999999997</v>
      </c>
      <c r="O229" s="545">
        <f t="shared" si="250"/>
        <v>656.83799999999997</v>
      </c>
    </row>
    <row r="230" spans="1:17" ht="22" x14ac:dyDescent="0.2">
      <c r="A230" s="570" t="s">
        <v>1253</v>
      </c>
      <c r="B230" s="618" t="s">
        <v>1488</v>
      </c>
      <c r="C230" s="596">
        <v>18</v>
      </c>
      <c r="D230" s="575" t="s">
        <v>98</v>
      </c>
      <c r="E230" s="596">
        <v>111.67</v>
      </c>
      <c r="F230" s="569">
        <f t="shared" si="243"/>
        <v>33.500999999999998</v>
      </c>
      <c r="G230" s="545">
        <f t="shared" si="244"/>
        <v>145.17099999999999</v>
      </c>
      <c r="H230" s="563">
        <v>12</v>
      </c>
      <c r="I230" s="546">
        <v>8</v>
      </c>
      <c r="J230" s="545">
        <f t="shared" si="245"/>
        <v>20</v>
      </c>
      <c r="K230" s="545">
        <f t="shared" si="246"/>
        <v>29.034199999999998</v>
      </c>
      <c r="L230" s="545">
        <f t="shared" si="247"/>
        <v>8.7102599999999999</v>
      </c>
      <c r="M230" s="545">
        <f t="shared" si="248"/>
        <v>37.744459999999997</v>
      </c>
      <c r="N230" s="547">
        <f t="shared" si="249"/>
        <v>3292.4782799999998</v>
      </c>
      <c r="O230" s="545">
        <f t="shared" si="250"/>
        <v>182.91546</v>
      </c>
      <c r="Q230" s="393" t="s">
        <v>51</v>
      </c>
    </row>
    <row r="231" spans="1:17" ht="22" x14ac:dyDescent="0.2">
      <c r="A231" s="570" t="s">
        <v>1254</v>
      </c>
      <c r="B231" s="618" t="s">
        <v>1403</v>
      </c>
      <c r="C231" s="596">
        <v>1</v>
      </c>
      <c r="D231" s="575" t="s">
        <v>5</v>
      </c>
      <c r="E231" s="624">
        <v>1500</v>
      </c>
      <c r="F231" s="569">
        <f t="shared" ref="F231" si="251">+E231*0.4</f>
        <v>600</v>
      </c>
      <c r="G231" s="545">
        <f t="shared" si="244"/>
        <v>2100</v>
      </c>
      <c r="H231" s="563">
        <v>12</v>
      </c>
      <c r="I231" s="546">
        <v>8</v>
      </c>
      <c r="J231" s="545">
        <f t="shared" si="245"/>
        <v>20</v>
      </c>
      <c r="K231" s="545">
        <f t="shared" si="246"/>
        <v>420</v>
      </c>
      <c r="L231" s="545">
        <f t="shared" si="247"/>
        <v>126</v>
      </c>
      <c r="M231" s="545">
        <f t="shared" si="248"/>
        <v>546</v>
      </c>
      <c r="N231" s="547">
        <f t="shared" si="249"/>
        <v>2646</v>
      </c>
      <c r="O231" s="545">
        <f t="shared" si="250"/>
        <v>2646</v>
      </c>
    </row>
    <row r="232" spans="1:17" ht="22" x14ac:dyDescent="0.2">
      <c r="A232" s="570" t="s">
        <v>1402</v>
      </c>
      <c r="B232" s="620" t="s">
        <v>1132</v>
      </c>
      <c r="C232" s="596">
        <v>1</v>
      </c>
      <c r="D232" s="575" t="s">
        <v>5</v>
      </c>
      <c r="E232" s="596">
        <v>5000</v>
      </c>
      <c r="F232" s="569">
        <v>1000</v>
      </c>
      <c r="G232" s="545">
        <f t="shared" si="244"/>
        <v>6000</v>
      </c>
      <c r="H232" s="563">
        <v>12</v>
      </c>
      <c r="I232" s="546">
        <v>8</v>
      </c>
      <c r="J232" s="545">
        <f t="shared" si="245"/>
        <v>20</v>
      </c>
      <c r="K232" s="545">
        <f t="shared" si="246"/>
        <v>1200</v>
      </c>
      <c r="L232" s="545">
        <f t="shared" si="247"/>
        <v>360</v>
      </c>
      <c r="M232" s="545">
        <f t="shared" si="248"/>
        <v>1560</v>
      </c>
      <c r="N232" s="547">
        <f t="shared" si="249"/>
        <v>7560</v>
      </c>
      <c r="O232" s="545">
        <f t="shared" si="250"/>
        <v>7560</v>
      </c>
    </row>
    <row r="233" spans="1:17" ht="21" x14ac:dyDescent="0.2">
      <c r="A233" s="594"/>
      <c r="B233" s="598"/>
      <c r="C233" s="596"/>
      <c r="D233" s="575"/>
      <c r="E233" s="596"/>
      <c r="F233" s="569"/>
      <c r="G233" s="597"/>
      <c r="H233" s="597"/>
      <c r="I233" s="597"/>
      <c r="J233" s="597"/>
      <c r="K233" s="597"/>
      <c r="L233" s="597"/>
      <c r="M233" s="554" t="s">
        <v>343</v>
      </c>
      <c r="N233" s="555">
        <f>SUM(N222:N232)</f>
        <v>423360.85427999997</v>
      </c>
      <c r="O233" s="569"/>
      <c r="P233" s="370">
        <f>N233</f>
        <v>423360.85427999997</v>
      </c>
    </row>
    <row r="234" spans="1:17" ht="22" x14ac:dyDescent="0.2">
      <c r="A234" s="587">
        <v>5.5</v>
      </c>
      <c r="B234" s="615" t="s">
        <v>1512</v>
      </c>
      <c r="C234" s="616"/>
      <c r="D234" s="617"/>
      <c r="E234" s="616"/>
      <c r="F234" s="546"/>
      <c r="G234" s="552"/>
      <c r="H234" s="552"/>
      <c r="I234" s="552"/>
      <c r="J234" s="552"/>
      <c r="K234" s="552"/>
      <c r="L234" s="552"/>
      <c r="M234" s="552"/>
      <c r="N234" s="578"/>
      <c r="O234" s="546"/>
    </row>
    <row r="235" spans="1:17" ht="22" x14ac:dyDescent="0.2">
      <c r="A235" s="570" t="s">
        <v>1255</v>
      </c>
      <c r="B235" s="598" t="s">
        <v>1500</v>
      </c>
      <c r="C235" s="596">
        <f>(77.51+(8.08*2))*1.1</f>
        <v>103.03700000000001</v>
      </c>
      <c r="D235" s="575" t="s">
        <v>892</v>
      </c>
      <c r="E235" s="621">
        <v>3000</v>
      </c>
      <c r="F235" s="621">
        <v>1000</v>
      </c>
      <c r="G235" s="622">
        <f t="shared" ref="G235:G236" si="252">E235+F235</f>
        <v>4000</v>
      </c>
      <c r="H235" s="563">
        <v>12</v>
      </c>
      <c r="I235" s="546">
        <v>8</v>
      </c>
      <c r="J235" s="622">
        <f t="shared" ref="J235:J238" si="253">H235+I235</f>
        <v>20</v>
      </c>
      <c r="K235" s="622">
        <f t="shared" ref="K235:K238" si="254">J235%*G235</f>
        <v>800</v>
      </c>
      <c r="L235" s="622">
        <f t="shared" ref="L235:L238" si="255">5%*((G235)+(K235))</f>
        <v>240</v>
      </c>
      <c r="M235" s="622">
        <f t="shared" ref="M235:M238" si="256">K235+L235</f>
        <v>1040</v>
      </c>
      <c r="N235" s="621">
        <f t="shared" ref="N235:N238" si="257">(+M235+G235)*C235</f>
        <v>519306.48000000004</v>
      </c>
      <c r="O235" s="622">
        <f t="shared" ref="O235:O238" si="258">N235/C235</f>
        <v>5040</v>
      </c>
    </row>
    <row r="236" spans="1:17" ht="22" x14ac:dyDescent="0.2">
      <c r="A236" s="570" t="s">
        <v>1256</v>
      </c>
      <c r="B236" s="598" t="str">
        <f>B224</f>
        <v>2mm thk. Galvanized Perforated Metal Round Hole Staggered Sheet</v>
      </c>
      <c r="C236" s="596">
        <f>29*1.1</f>
        <v>31.900000000000002</v>
      </c>
      <c r="D236" s="575" t="s">
        <v>892</v>
      </c>
      <c r="E236" s="596">
        <f>E224</f>
        <v>2500</v>
      </c>
      <c r="F236" s="569">
        <f>+E236*0.4</f>
        <v>1000</v>
      </c>
      <c r="G236" s="545">
        <f t="shared" si="252"/>
        <v>3500</v>
      </c>
      <c r="H236" s="563">
        <v>12</v>
      </c>
      <c r="I236" s="546">
        <v>8</v>
      </c>
      <c r="J236" s="545">
        <f t="shared" si="253"/>
        <v>20</v>
      </c>
      <c r="K236" s="545">
        <f t="shared" si="254"/>
        <v>700</v>
      </c>
      <c r="L236" s="545">
        <f t="shared" si="255"/>
        <v>210</v>
      </c>
      <c r="M236" s="545">
        <f t="shared" si="256"/>
        <v>910</v>
      </c>
      <c r="N236" s="547">
        <f t="shared" si="257"/>
        <v>140679</v>
      </c>
      <c r="O236" s="545">
        <f t="shared" si="258"/>
        <v>4410</v>
      </c>
    </row>
    <row r="237" spans="1:17" ht="22" x14ac:dyDescent="0.2">
      <c r="A237" s="570" t="s">
        <v>1257</v>
      </c>
      <c r="B237" s="598" t="s">
        <v>1135</v>
      </c>
      <c r="C237" s="596">
        <f>15.04*1.2</f>
        <v>18.047999999999998</v>
      </c>
      <c r="D237" s="575" t="s">
        <v>98</v>
      </c>
      <c r="E237" s="596">
        <v>230</v>
      </c>
      <c r="F237" s="569">
        <f>+E237*0.3</f>
        <v>69</v>
      </c>
      <c r="G237" s="545">
        <f>E237+F237</f>
        <v>299</v>
      </c>
      <c r="H237" s="563">
        <v>12</v>
      </c>
      <c r="I237" s="546">
        <v>8</v>
      </c>
      <c r="J237" s="545">
        <f t="shared" si="253"/>
        <v>20</v>
      </c>
      <c r="K237" s="545">
        <f t="shared" si="254"/>
        <v>59.800000000000004</v>
      </c>
      <c r="L237" s="545">
        <f t="shared" si="255"/>
        <v>17.940000000000001</v>
      </c>
      <c r="M237" s="545">
        <f t="shared" si="256"/>
        <v>77.740000000000009</v>
      </c>
      <c r="N237" s="547">
        <f t="shared" si="257"/>
        <v>6799.4035199999998</v>
      </c>
      <c r="O237" s="545">
        <f t="shared" si="258"/>
        <v>376.74</v>
      </c>
    </row>
    <row r="238" spans="1:17" ht="22" x14ac:dyDescent="0.2">
      <c r="A238" s="570" t="s">
        <v>1258</v>
      </c>
      <c r="B238" s="618" t="s">
        <v>1136</v>
      </c>
      <c r="C238" s="596">
        <v>12</v>
      </c>
      <c r="D238" s="575" t="s">
        <v>98</v>
      </c>
      <c r="E238" s="596">
        <v>295</v>
      </c>
      <c r="F238" s="569">
        <f>+E238*0.3</f>
        <v>88.5</v>
      </c>
      <c r="G238" s="545">
        <f>E238+F238</f>
        <v>383.5</v>
      </c>
      <c r="H238" s="563">
        <v>12</v>
      </c>
      <c r="I238" s="546">
        <v>8</v>
      </c>
      <c r="J238" s="545">
        <f t="shared" si="253"/>
        <v>20</v>
      </c>
      <c r="K238" s="545">
        <f t="shared" si="254"/>
        <v>76.7</v>
      </c>
      <c r="L238" s="545">
        <f t="shared" si="255"/>
        <v>23.01</v>
      </c>
      <c r="M238" s="545">
        <f t="shared" si="256"/>
        <v>99.710000000000008</v>
      </c>
      <c r="N238" s="547">
        <f t="shared" si="257"/>
        <v>5798.52</v>
      </c>
      <c r="O238" s="545">
        <f t="shared" si="258"/>
        <v>483.21000000000004</v>
      </c>
    </row>
    <row r="239" spans="1:17" ht="22" x14ac:dyDescent="0.2">
      <c r="A239" s="570" t="s">
        <v>1259</v>
      </c>
      <c r="B239" s="618" t="s">
        <v>1137</v>
      </c>
      <c r="C239" s="596">
        <v>18</v>
      </c>
      <c r="D239" s="575" t="s">
        <v>98</v>
      </c>
      <c r="E239" s="596">
        <v>405</v>
      </c>
      <c r="F239" s="569">
        <f t="shared" ref="F239" si="259">+E239*0.3</f>
        <v>121.5</v>
      </c>
      <c r="G239" s="545">
        <f>E239+F239</f>
        <v>526.5</v>
      </c>
      <c r="H239" s="563">
        <v>12</v>
      </c>
      <c r="I239" s="546">
        <v>8</v>
      </c>
      <c r="J239" s="545">
        <f>H239+I239</f>
        <v>20</v>
      </c>
      <c r="K239" s="545">
        <f>J239%*G239</f>
        <v>105.30000000000001</v>
      </c>
      <c r="L239" s="545">
        <f>5%*((G239)+(K239))</f>
        <v>31.59</v>
      </c>
      <c r="M239" s="545">
        <f>K239+L239</f>
        <v>136.89000000000001</v>
      </c>
      <c r="N239" s="547">
        <f>(+M239+G239)*C239</f>
        <v>11941.02</v>
      </c>
      <c r="O239" s="545">
        <f>N239/C239</f>
        <v>663.39</v>
      </c>
    </row>
    <row r="240" spans="1:17" ht="22" x14ac:dyDescent="0.2">
      <c r="A240" s="570" t="s">
        <v>1260</v>
      </c>
      <c r="B240" s="618" t="s">
        <v>1111</v>
      </c>
      <c r="C240" s="596">
        <v>78</v>
      </c>
      <c r="D240" s="575" t="s">
        <v>98</v>
      </c>
      <c r="E240" s="596">
        <f>E194</f>
        <v>139.5</v>
      </c>
      <c r="F240" s="569">
        <f>+E240*0.4</f>
        <v>55.800000000000004</v>
      </c>
      <c r="G240" s="545">
        <f t="shared" ref="G240:G244" si="260">E240+F240</f>
        <v>195.3</v>
      </c>
      <c r="H240" s="563">
        <v>12</v>
      </c>
      <c r="I240" s="546">
        <v>8</v>
      </c>
      <c r="J240" s="545">
        <f t="shared" ref="J240:J244" si="261">H240+I240</f>
        <v>20</v>
      </c>
      <c r="K240" s="545">
        <f t="shared" ref="K240:K244" si="262">J240%*G240</f>
        <v>39.06</v>
      </c>
      <c r="L240" s="545">
        <f t="shared" ref="L240:L244" si="263">5%*((G240)+(K240))</f>
        <v>11.718000000000002</v>
      </c>
      <c r="M240" s="545">
        <f t="shared" ref="M240:M244" si="264">K240+L240</f>
        <v>50.778000000000006</v>
      </c>
      <c r="N240" s="547">
        <f t="shared" ref="N240:N244" si="265">(+M240+G240)*C240</f>
        <v>19194.084000000003</v>
      </c>
      <c r="O240" s="545">
        <f t="shared" ref="O240:O244" si="266">N240/C240</f>
        <v>246.07800000000003</v>
      </c>
    </row>
    <row r="241" spans="1:16" ht="22" x14ac:dyDescent="0.2">
      <c r="A241" s="570" t="s">
        <v>1261</v>
      </c>
      <c r="B241" s="618" t="s">
        <v>1469</v>
      </c>
      <c r="C241" s="596">
        <v>36</v>
      </c>
      <c r="D241" s="575" t="s">
        <v>98</v>
      </c>
      <c r="E241" s="596">
        <v>236</v>
      </c>
      <c r="F241" s="569">
        <f t="shared" ref="F241:F243" si="267">+E241*0.4</f>
        <v>94.4</v>
      </c>
      <c r="G241" s="545">
        <f t="shared" si="260"/>
        <v>330.4</v>
      </c>
      <c r="H241" s="563">
        <v>12</v>
      </c>
      <c r="I241" s="546">
        <v>8</v>
      </c>
      <c r="J241" s="545">
        <f t="shared" si="261"/>
        <v>20</v>
      </c>
      <c r="K241" s="545">
        <f t="shared" si="262"/>
        <v>66.08</v>
      </c>
      <c r="L241" s="545">
        <f t="shared" si="263"/>
        <v>19.823999999999998</v>
      </c>
      <c r="M241" s="545">
        <f t="shared" si="264"/>
        <v>85.903999999999996</v>
      </c>
      <c r="N241" s="547">
        <f t="shared" si="265"/>
        <v>14986.944</v>
      </c>
      <c r="O241" s="545">
        <f t="shared" si="266"/>
        <v>416.30399999999997</v>
      </c>
    </row>
    <row r="242" spans="1:16" ht="22" x14ac:dyDescent="0.2">
      <c r="A242" s="570" t="s">
        <v>1262</v>
      </c>
      <c r="B242" s="618" t="s">
        <v>1488</v>
      </c>
      <c r="C242" s="596">
        <v>18</v>
      </c>
      <c r="D242" s="575" t="s">
        <v>98</v>
      </c>
      <c r="E242" s="596">
        <f>E230</f>
        <v>111.67</v>
      </c>
      <c r="F242" s="569">
        <f t="shared" si="267"/>
        <v>44.668000000000006</v>
      </c>
      <c r="G242" s="545">
        <f t="shared" si="260"/>
        <v>156.33800000000002</v>
      </c>
      <c r="H242" s="563">
        <v>12</v>
      </c>
      <c r="I242" s="546">
        <v>8</v>
      </c>
      <c r="J242" s="545">
        <f t="shared" si="261"/>
        <v>20</v>
      </c>
      <c r="K242" s="545">
        <f t="shared" si="262"/>
        <v>31.267600000000005</v>
      </c>
      <c r="L242" s="545">
        <f t="shared" si="263"/>
        <v>9.3802800000000026</v>
      </c>
      <c r="M242" s="545">
        <f t="shared" si="264"/>
        <v>40.647880000000008</v>
      </c>
      <c r="N242" s="547">
        <f t="shared" si="265"/>
        <v>3545.7458400000005</v>
      </c>
      <c r="O242" s="545">
        <f t="shared" si="266"/>
        <v>196.98588000000004</v>
      </c>
    </row>
    <row r="243" spans="1:16" ht="22" x14ac:dyDescent="0.2">
      <c r="A243" s="570" t="s">
        <v>1263</v>
      </c>
      <c r="B243" s="618" t="s">
        <v>1403</v>
      </c>
      <c r="C243" s="596">
        <v>1</v>
      </c>
      <c r="D243" s="575" t="s">
        <v>5</v>
      </c>
      <c r="E243" s="624">
        <v>1500</v>
      </c>
      <c r="F243" s="569">
        <f t="shared" si="267"/>
        <v>600</v>
      </c>
      <c r="G243" s="545">
        <f t="shared" si="260"/>
        <v>2100</v>
      </c>
      <c r="H243" s="563">
        <v>12</v>
      </c>
      <c r="I243" s="546">
        <v>8</v>
      </c>
      <c r="J243" s="545">
        <f t="shared" si="261"/>
        <v>20</v>
      </c>
      <c r="K243" s="545">
        <f t="shared" si="262"/>
        <v>420</v>
      </c>
      <c r="L243" s="545">
        <f t="shared" si="263"/>
        <v>126</v>
      </c>
      <c r="M243" s="545">
        <f t="shared" si="264"/>
        <v>546</v>
      </c>
      <c r="N243" s="547">
        <f t="shared" si="265"/>
        <v>2646</v>
      </c>
      <c r="O243" s="545">
        <f t="shared" si="266"/>
        <v>2646</v>
      </c>
    </row>
    <row r="244" spans="1:16" ht="22" x14ac:dyDescent="0.2">
      <c r="A244" s="570" t="s">
        <v>1404</v>
      </c>
      <c r="B244" s="620" t="s">
        <v>1132</v>
      </c>
      <c r="C244" s="596">
        <v>1</v>
      </c>
      <c r="D244" s="524" t="s">
        <v>5</v>
      </c>
      <c r="E244" s="596">
        <v>5000</v>
      </c>
      <c r="F244" s="569">
        <f>+E244*0.4</f>
        <v>2000</v>
      </c>
      <c r="G244" s="545">
        <f t="shared" si="260"/>
        <v>7000</v>
      </c>
      <c r="H244" s="563">
        <v>12</v>
      </c>
      <c r="I244" s="546">
        <v>8</v>
      </c>
      <c r="J244" s="545">
        <f t="shared" si="261"/>
        <v>20</v>
      </c>
      <c r="K244" s="545">
        <f t="shared" si="262"/>
        <v>1400</v>
      </c>
      <c r="L244" s="545">
        <f t="shared" si="263"/>
        <v>420</v>
      </c>
      <c r="M244" s="545">
        <f t="shared" si="264"/>
        <v>1820</v>
      </c>
      <c r="N244" s="547">
        <f t="shared" si="265"/>
        <v>8820</v>
      </c>
      <c r="O244" s="545">
        <f t="shared" si="266"/>
        <v>8820</v>
      </c>
    </row>
    <row r="245" spans="1:16" ht="21" x14ac:dyDescent="0.2">
      <c r="A245" s="594"/>
      <c r="B245" s="598"/>
      <c r="C245" s="596"/>
      <c r="D245" s="575"/>
      <c r="E245" s="596"/>
      <c r="F245" s="569"/>
      <c r="G245" s="597"/>
      <c r="H245" s="597"/>
      <c r="I245" s="597"/>
      <c r="J245" s="597"/>
      <c r="K245" s="597"/>
      <c r="L245" s="597"/>
      <c r="M245" s="554" t="s">
        <v>343</v>
      </c>
      <c r="N245" s="555">
        <f>SUM(N235:N244)</f>
        <v>733717.19736000011</v>
      </c>
      <c r="O245" s="569"/>
      <c r="P245" s="370">
        <f>N245</f>
        <v>733717.19736000011</v>
      </c>
    </row>
    <row r="246" spans="1:16" ht="22" x14ac:dyDescent="0.2">
      <c r="A246" s="591">
        <v>5.6</v>
      </c>
      <c r="B246" s="625" t="s">
        <v>1124</v>
      </c>
      <c r="C246" s="616"/>
      <c r="D246" s="617"/>
      <c r="E246" s="616"/>
      <c r="F246" s="546"/>
      <c r="G246" s="552"/>
      <c r="H246" s="545"/>
      <c r="I246" s="552"/>
      <c r="J246" s="552"/>
      <c r="K246" s="552"/>
      <c r="L246" s="552"/>
      <c r="M246" s="552"/>
      <c r="N246" s="605"/>
      <c r="O246" s="546"/>
    </row>
    <row r="247" spans="1:16" ht="22" x14ac:dyDescent="0.2">
      <c r="A247" s="570" t="s">
        <v>1264</v>
      </c>
      <c r="B247" s="598" t="s">
        <v>1125</v>
      </c>
      <c r="C247" s="596">
        <f>(12.75+12.75+24.25)*1.1</f>
        <v>54.725000000000001</v>
      </c>
      <c r="D247" s="524" t="s">
        <v>98</v>
      </c>
      <c r="E247" s="596">
        <v>900</v>
      </c>
      <c r="F247" s="569">
        <f>+E247*0.4</f>
        <v>360</v>
      </c>
      <c r="G247" s="545">
        <f t="shared" ref="G247:G248" si="268">E247+F247</f>
        <v>1260</v>
      </c>
      <c r="H247" s="563">
        <v>12</v>
      </c>
      <c r="I247" s="546">
        <v>8</v>
      </c>
      <c r="J247" s="545">
        <f t="shared" ref="J247:J248" si="269">H247+I247</f>
        <v>20</v>
      </c>
      <c r="K247" s="545">
        <f t="shared" ref="K247:K248" si="270">J247%*G247</f>
        <v>252</v>
      </c>
      <c r="L247" s="545">
        <f t="shared" ref="L247:L248" si="271">5%*((G247)+(K247))</f>
        <v>75.600000000000009</v>
      </c>
      <c r="M247" s="545">
        <f t="shared" ref="M247:M248" si="272">K247+L247</f>
        <v>327.60000000000002</v>
      </c>
      <c r="N247" s="547">
        <f t="shared" ref="N247:N248" si="273">(+M247+G247)*C247</f>
        <v>86881.41</v>
      </c>
      <c r="O247" s="545">
        <f t="shared" ref="O247:O248" si="274">N247/C247</f>
        <v>1587.6</v>
      </c>
    </row>
    <row r="248" spans="1:16" ht="22" x14ac:dyDescent="0.2">
      <c r="A248" s="570" t="s">
        <v>1265</v>
      </c>
      <c r="B248" s="620" t="s">
        <v>423</v>
      </c>
      <c r="C248" s="596">
        <v>1</v>
      </c>
      <c r="D248" s="575" t="s">
        <v>5</v>
      </c>
      <c r="E248" s="596">
        <v>3000</v>
      </c>
      <c r="F248" s="569">
        <f>+E248*0.4</f>
        <v>1200</v>
      </c>
      <c r="G248" s="545">
        <f t="shared" si="268"/>
        <v>4200</v>
      </c>
      <c r="H248" s="563">
        <v>12</v>
      </c>
      <c r="I248" s="546">
        <v>8</v>
      </c>
      <c r="J248" s="545">
        <f t="shared" si="269"/>
        <v>20</v>
      </c>
      <c r="K248" s="545">
        <f t="shared" si="270"/>
        <v>840</v>
      </c>
      <c r="L248" s="545">
        <f t="shared" si="271"/>
        <v>252</v>
      </c>
      <c r="M248" s="545">
        <f t="shared" si="272"/>
        <v>1092</v>
      </c>
      <c r="N248" s="547">
        <f t="shared" si="273"/>
        <v>5292</v>
      </c>
      <c r="O248" s="545">
        <f t="shared" si="274"/>
        <v>5292</v>
      </c>
    </row>
    <row r="249" spans="1:16" ht="21" x14ac:dyDescent="0.2">
      <c r="A249" s="594"/>
      <c r="B249" s="595"/>
      <c r="C249" s="596"/>
      <c r="D249" s="575"/>
      <c r="E249" s="596"/>
      <c r="F249" s="569"/>
      <c r="G249" s="597"/>
      <c r="H249" s="597"/>
      <c r="I249" s="597"/>
      <c r="J249" s="597"/>
      <c r="K249" s="597"/>
      <c r="L249" s="597"/>
      <c r="M249" s="554" t="s">
        <v>343</v>
      </c>
      <c r="N249" s="555">
        <f>SUM(N247:N248)</f>
        <v>92173.41</v>
      </c>
      <c r="O249" s="586"/>
      <c r="P249" s="370">
        <f>N249</f>
        <v>92173.41</v>
      </c>
    </row>
    <row r="250" spans="1:16" ht="22" x14ac:dyDescent="0.2">
      <c r="A250" s="591">
        <v>5.7</v>
      </c>
      <c r="B250" s="625" t="s">
        <v>1298</v>
      </c>
      <c r="C250" s="616"/>
      <c r="D250" s="617"/>
      <c r="E250" s="616"/>
      <c r="F250" s="546"/>
      <c r="G250" s="552"/>
      <c r="H250" s="545"/>
      <c r="I250" s="552"/>
      <c r="J250" s="552"/>
      <c r="K250" s="552"/>
      <c r="L250" s="552"/>
      <c r="M250" s="552"/>
      <c r="N250" s="605"/>
      <c r="O250" s="546"/>
    </row>
    <row r="251" spans="1:16" ht="22" x14ac:dyDescent="0.2">
      <c r="A251" s="570" t="s">
        <v>1296</v>
      </c>
      <c r="B251" s="598" t="s">
        <v>1469</v>
      </c>
      <c r="C251" s="596">
        <v>48</v>
      </c>
      <c r="D251" s="524" t="s">
        <v>98</v>
      </c>
      <c r="E251" s="596">
        <f>E241</f>
        <v>236</v>
      </c>
      <c r="F251" s="569">
        <f>+E251*0.4</f>
        <v>94.4</v>
      </c>
      <c r="G251" s="545">
        <f t="shared" ref="G251:G253" si="275">E251+F251</f>
        <v>330.4</v>
      </c>
      <c r="H251" s="563">
        <v>12</v>
      </c>
      <c r="I251" s="546">
        <v>8</v>
      </c>
      <c r="J251" s="545">
        <f t="shared" ref="J251:J253" si="276">H251+I251</f>
        <v>20</v>
      </c>
      <c r="K251" s="545">
        <f t="shared" ref="K251:K253" si="277">J251%*G251</f>
        <v>66.08</v>
      </c>
      <c r="L251" s="545">
        <f t="shared" ref="L251:L253" si="278">5%*((G251)+(K251))</f>
        <v>19.823999999999998</v>
      </c>
      <c r="M251" s="545">
        <f t="shared" ref="M251:M253" si="279">K251+L251</f>
        <v>85.903999999999996</v>
      </c>
      <c r="N251" s="547">
        <f t="shared" ref="N251:N253" si="280">(+M251+G251)*C251</f>
        <v>19982.591999999997</v>
      </c>
      <c r="O251" s="545">
        <f t="shared" ref="O251:O253" si="281">N251/C251</f>
        <v>416.30399999999992</v>
      </c>
    </row>
    <row r="252" spans="1:16" ht="22" x14ac:dyDescent="0.2">
      <c r="A252" s="570" t="s">
        <v>1297</v>
      </c>
      <c r="B252" s="626" t="s">
        <v>1401</v>
      </c>
      <c r="C252" s="596">
        <v>1</v>
      </c>
      <c r="D252" s="575" t="s">
        <v>5</v>
      </c>
      <c r="E252" s="596">
        <v>1500</v>
      </c>
      <c r="F252" s="569">
        <f>+E252*0.4</f>
        <v>600</v>
      </c>
      <c r="G252" s="545">
        <f t="shared" si="275"/>
        <v>2100</v>
      </c>
      <c r="H252" s="563">
        <v>12</v>
      </c>
      <c r="I252" s="546">
        <v>8</v>
      </c>
      <c r="J252" s="545">
        <f t="shared" si="276"/>
        <v>20</v>
      </c>
      <c r="K252" s="545">
        <f t="shared" si="277"/>
        <v>420</v>
      </c>
      <c r="L252" s="545">
        <f t="shared" si="278"/>
        <v>126</v>
      </c>
      <c r="M252" s="545">
        <f t="shared" si="279"/>
        <v>546</v>
      </c>
      <c r="N252" s="547">
        <f t="shared" si="280"/>
        <v>2646</v>
      </c>
      <c r="O252" s="545">
        <f t="shared" si="281"/>
        <v>2646</v>
      </c>
    </row>
    <row r="253" spans="1:16" ht="22" x14ac:dyDescent="0.2">
      <c r="A253" s="570" t="s">
        <v>1399</v>
      </c>
      <c r="B253" s="620" t="s">
        <v>1518</v>
      </c>
      <c r="C253" s="596">
        <v>1</v>
      </c>
      <c r="D253" s="575" t="s">
        <v>5</v>
      </c>
      <c r="E253" s="596">
        <v>4000</v>
      </c>
      <c r="F253" s="569">
        <f>+E253*0.4</f>
        <v>1600</v>
      </c>
      <c r="G253" s="545">
        <f t="shared" si="275"/>
        <v>5600</v>
      </c>
      <c r="H253" s="563">
        <v>12</v>
      </c>
      <c r="I253" s="546">
        <v>8</v>
      </c>
      <c r="J253" s="545">
        <f t="shared" si="276"/>
        <v>20</v>
      </c>
      <c r="K253" s="545">
        <f t="shared" si="277"/>
        <v>1120</v>
      </c>
      <c r="L253" s="545">
        <f t="shared" si="278"/>
        <v>336</v>
      </c>
      <c r="M253" s="545">
        <f t="shared" si="279"/>
        <v>1456</v>
      </c>
      <c r="N253" s="547">
        <f t="shared" si="280"/>
        <v>7056</v>
      </c>
      <c r="O253" s="545">
        <f t="shared" si="281"/>
        <v>7056</v>
      </c>
    </row>
    <row r="254" spans="1:16" ht="21" x14ac:dyDescent="0.2">
      <c r="A254" s="594"/>
      <c r="B254" s="595"/>
      <c r="C254" s="596"/>
      <c r="D254" s="575"/>
      <c r="E254" s="596"/>
      <c r="F254" s="569"/>
      <c r="G254" s="597"/>
      <c r="H254" s="597"/>
      <c r="I254" s="597"/>
      <c r="J254" s="597"/>
      <c r="K254" s="597"/>
      <c r="L254" s="597"/>
      <c r="M254" s="554" t="s">
        <v>343</v>
      </c>
      <c r="N254" s="555">
        <f>SUM(N251:N253)</f>
        <v>29684.591999999997</v>
      </c>
      <c r="O254" s="586"/>
      <c r="P254" s="370">
        <f>N254</f>
        <v>29684.591999999997</v>
      </c>
    </row>
    <row r="255" spans="1:16" ht="22" x14ac:dyDescent="0.25">
      <c r="A255" s="627">
        <v>6</v>
      </c>
      <c r="B255" s="628" t="s">
        <v>633</v>
      </c>
      <c r="C255" s="629"/>
      <c r="D255" s="630"/>
      <c r="E255" s="629"/>
      <c r="F255" s="629"/>
      <c r="G255" s="631"/>
      <c r="H255" s="632"/>
      <c r="I255" s="632"/>
      <c r="J255" s="633"/>
      <c r="K255" s="633"/>
      <c r="L255" s="633"/>
      <c r="M255" s="632"/>
      <c r="N255" s="632"/>
      <c r="O255" s="634"/>
    </row>
    <row r="256" spans="1:16" ht="22" x14ac:dyDescent="0.2">
      <c r="A256" s="635">
        <v>6.1</v>
      </c>
      <c r="B256" s="636" t="s">
        <v>737</v>
      </c>
      <c r="C256" s="637">
        <v>11</v>
      </c>
      <c r="D256" s="637" t="s">
        <v>1</v>
      </c>
      <c r="E256" s="637">
        <v>8000</v>
      </c>
      <c r="F256" s="569">
        <v>350</v>
      </c>
      <c r="G256" s="545">
        <f t="shared" ref="G256" si="282">E256+F256</f>
        <v>8350</v>
      </c>
      <c r="H256" s="563">
        <v>12</v>
      </c>
      <c r="I256" s="546">
        <v>8</v>
      </c>
      <c r="J256" s="545">
        <f t="shared" ref="J256" si="283">H256+I256</f>
        <v>20</v>
      </c>
      <c r="K256" s="545">
        <f t="shared" ref="K256" si="284">J256%*G256</f>
        <v>1670</v>
      </c>
      <c r="L256" s="545">
        <f t="shared" ref="L256" si="285">5%*((G256)+(K256))</f>
        <v>501</v>
      </c>
      <c r="M256" s="545">
        <f t="shared" ref="M256" si="286">K256+L256</f>
        <v>2171</v>
      </c>
      <c r="N256" s="547">
        <f t="shared" ref="N256" si="287">(+M256+G256)*C256</f>
        <v>115731</v>
      </c>
      <c r="O256" s="545">
        <f t="shared" ref="O256" si="288">N256/C256</f>
        <v>10521</v>
      </c>
    </row>
    <row r="257" spans="1:16" ht="22" x14ac:dyDescent="0.2">
      <c r="A257" s="635">
        <v>6.2</v>
      </c>
      <c r="B257" s="636" t="s">
        <v>1405</v>
      </c>
      <c r="C257" s="637">
        <v>1</v>
      </c>
      <c r="D257" s="637" t="s">
        <v>1</v>
      </c>
      <c r="E257" s="637">
        <v>8000</v>
      </c>
      <c r="F257" s="569">
        <v>350</v>
      </c>
      <c r="G257" s="545">
        <f t="shared" ref="G257:G259" si="289">E257+F257</f>
        <v>8350</v>
      </c>
      <c r="H257" s="563">
        <v>12</v>
      </c>
      <c r="I257" s="546">
        <v>8</v>
      </c>
      <c r="J257" s="545">
        <f t="shared" ref="J257:J259" si="290">H257+I257</f>
        <v>20</v>
      </c>
      <c r="K257" s="545">
        <f t="shared" ref="K257:K259" si="291">J257%*G257</f>
        <v>1670</v>
      </c>
      <c r="L257" s="545">
        <f t="shared" ref="L257:L259" si="292">5%*((G257)+(K257))</f>
        <v>501</v>
      </c>
      <c r="M257" s="545">
        <f t="shared" ref="M257:M259" si="293">K257+L257</f>
        <v>2171</v>
      </c>
      <c r="N257" s="547">
        <f t="shared" ref="N257:N259" si="294">(+M257+G257)*C257</f>
        <v>10521</v>
      </c>
      <c r="O257" s="545">
        <f t="shared" ref="O257:O259" si="295">N257/C257</f>
        <v>10521</v>
      </c>
    </row>
    <row r="258" spans="1:16" ht="44" x14ac:dyDescent="0.2">
      <c r="A258" s="635">
        <v>6.3</v>
      </c>
      <c r="B258" s="638" t="s">
        <v>1281</v>
      </c>
      <c r="C258" s="637">
        <v>4</v>
      </c>
      <c r="D258" s="637" t="s">
        <v>1</v>
      </c>
      <c r="E258" s="639">
        <v>500</v>
      </c>
      <c r="F258" s="569">
        <v>100</v>
      </c>
      <c r="G258" s="545">
        <f t="shared" si="289"/>
        <v>600</v>
      </c>
      <c r="H258" s="563">
        <v>12</v>
      </c>
      <c r="I258" s="546">
        <v>8</v>
      </c>
      <c r="J258" s="545">
        <f t="shared" si="290"/>
        <v>20</v>
      </c>
      <c r="K258" s="545">
        <f t="shared" si="291"/>
        <v>120</v>
      </c>
      <c r="L258" s="545">
        <f t="shared" si="292"/>
        <v>36</v>
      </c>
      <c r="M258" s="545">
        <f t="shared" si="293"/>
        <v>156</v>
      </c>
      <c r="N258" s="547">
        <f t="shared" si="294"/>
        <v>3024</v>
      </c>
      <c r="O258" s="545">
        <f t="shared" si="295"/>
        <v>756</v>
      </c>
    </row>
    <row r="259" spans="1:16" ht="44" x14ac:dyDescent="0.2">
      <c r="A259" s="635">
        <v>6.4</v>
      </c>
      <c r="B259" s="638" t="s">
        <v>1280</v>
      </c>
      <c r="C259" s="637">
        <v>1</v>
      </c>
      <c r="D259" s="637" t="s">
        <v>1</v>
      </c>
      <c r="E259" s="639">
        <v>2000</v>
      </c>
      <c r="F259" s="569">
        <v>100</v>
      </c>
      <c r="G259" s="545">
        <f t="shared" si="289"/>
        <v>2100</v>
      </c>
      <c r="H259" s="563">
        <v>12</v>
      </c>
      <c r="I259" s="546">
        <v>8</v>
      </c>
      <c r="J259" s="545">
        <f t="shared" si="290"/>
        <v>20</v>
      </c>
      <c r="K259" s="545">
        <f t="shared" si="291"/>
        <v>420</v>
      </c>
      <c r="L259" s="545">
        <f t="shared" si="292"/>
        <v>126</v>
      </c>
      <c r="M259" s="545">
        <f t="shared" si="293"/>
        <v>546</v>
      </c>
      <c r="N259" s="547">
        <f t="shared" si="294"/>
        <v>2646</v>
      </c>
      <c r="O259" s="545">
        <f t="shared" si="295"/>
        <v>2646</v>
      </c>
    </row>
    <row r="260" spans="1:16" ht="22" x14ac:dyDescent="0.2">
      <c r="A260" s="635">
        <v>6.5</v>
      </c>
      <c r="B260" s="638" t="s">
        <v>1406</v>
      </c>
      <c r="C260" s="637">
        <v>2</v>
      </c>
      <c r="D260" s="637" t="s">
        <v>1</v>
      </c>
      <c r="E260" s="639">
        <v>2000</v>
      </c>
      <c r="F260" s="569">
        <v>100</v>
      </c>
      <c r="G260" s="545">
        <f t="shared" ref="G260" si="296">E260+F260</f>
        <v>2100</v>
      </c>
      <c r="H260" s="563">
        <v>12</v>
      </c>
      <c r="I260" s="546">
        <v>8</v>
      </c>
      <c r="J260" s="545">
        <f t="shared" ref="J260" si="297">H260+I260</f>
        <v>20</v>
      </c>
      <c r="K260" s="545">
        <f t="shared" ref="K260" si="298">J260%*G260</f>
        <v>420</v>
      </c>
      <c r="L260" s="545">
        <f t="shared" ref="L260" si="299">5%*((G260)+(K260))</f>
        <v>126</v>
      </c>
      <c r="M260" s="545">
        <f t="shared" ref="M260" si="300">K260+L260</f>
        <v>546</v>
      </c>
      <c r="N260" s="547">
        <f t="shared" ref="N260" si="301">(+M260+G260)*C260</f>
        <v>5292</v>
      </c>
      <c r="O260" s="545">
        <f t="shared" ref="O260" si="302">N260/C260</f>
        <v>2646</v>
      </c>
    </row>
    <row r="261" spans="1:16" ht="22" x14ac:dyDescent="0.2">
      <c r="A261" s="635">
        <v>6.6</v>
      </c>
      <c r="B261" s="638" t="s">
        <v>1407</v>
      </c>
      <c r="C261" s="637">
        <v>4</v>
      </c>
      <c r="D261" s="637" t="s">
        <v>1</v>
      </c>
      <c r="E261" s="639">
        <v>2000</v>
      </c>
      <c r="F261" s="569">
        <v>100</v>
      </c>
      <c r="G261" s="545">
        <f t="shared" ref="G261" si="303">E261+F261</f>
        <v>2100</v>
      </c>
      <c r="H261" s="563">
        <v>12</v>
      </c>
      <c r="I261" s="546">
        <v>8</v>
      </c>
      <c r="J261" s="545">
        <f t="shared" ref="J261" si="304">H261+I261</f>
        <v>20</v>
      </c>
      <c r="K261" s="545">
        <f t="shared" ref="K261" si="305">J261%*G261</f>
        <v>420</v>
      </c>
      <c r="L261" s="545">
        <f t="shared" ref="L261" si="306">5%*((G261)+(K261))</f>
        <v>126</v>
      </c>
      <c r="M261" s="545">
        <f t="shared" ref="M261" si="307">K261+L261</f>
        <v>546</v>
      </c>
      <c r="N261" s="547">
        <f t="shared" ref="N261" si="308">(+M261+G261)*C261</f>
        <v>10584</v>
      </c>
      <c r="O261" s="545">
        <f t="shared" ref="O261" si="309">N261/C261</f>
        <v>2646</v>
      </c>
    </row>
    <row r="262" spans="1:16" ht="21" x14ac:dyDescent="0.25">
      <c r="A262" s="635"/>
      <c r="B262" s="640"/>
      <c r="C262" s="637"/>
      <c r="D262" s="641"/>
      <c r="E262" s="637"/>
      <c r="F262" s="637"/>
      <c r="G262" s="642"/>
      <c r="H262" s="643"/>
      <c r="I262" s="643"/>
      <c r="J262" s="644"/>
      <c r="K262" s="644"/>
      <c r="L262" s="644"/>
      <c r="M262" s="645" t="s">
        <v>343</v>
      </c>
      <c r="N262" s="646">
        <f>SUM(N256:N261)</f>
        <v>147798</v>
      </c>
      <c r="O262" s="647"/>
      <c r="P262" s="370">
        <f>N262</f>
        <v>147798</v>
      </c>
    </row>
    <row r="263" spans="1:16" ht="22" x14ac:dyDescent="0.2">
      <c r="A263" s="648">
        <v>7</v>
      </c>
      <c r="B263" s="649" t="s">
        <v>546</v>
      </c>
      <c r="C263" s="629"/>
      <c r="D263" s="630"/>
      <c r="E263" s="629"/>
      <c r="F263" s="629"/>
      <c r="G263" s="633"/>
      <c r="H263" s="633"/>
      <c r="I263" s="633"/>
      <c r="J263" s="633"/>
      <c r="K263" s="633"/>
      <c r="L263" s="633"/>
      <c r="M263" s="633"/>
      <c r="N263" s="633"/>
      <c r="O263" s="629"/>
    </row>
    <row r="264" spans="1:16" ht="22" x14ac:dyDescent="0.2">
      <c r="A264" s="636">
        <v>7.1</v>
      </c>
      <c r="B264" s="636" t="s">
        <v>1282</v>
      </c>
      <c r="C264" s="637">
        <v>100</v>
      </c>
      <c r="D264" s="641" t="s">
        <v>1049</v>
      </c>
      <c r="E264" s="637">
        <v>300</v>
      </c>
      <c r="F264" s="569">
        <f>+E264*0.4</f>
        <v>120</v>
      </c>
      <c r="G264" s="545">
        <f t="shared" ref="G264:G267" si="310">E264+F264</f>
        <v>420</v>
      </c>
      <c r="H264" s="563">
        <v>12</v>
      </c>
      <c r="I264" s="546">
        <v>8</v>
      </c>
      <c r="J264" s="545">
        <f t="shared" ref="J264:J267" si="311">H264+I264</f>
        <v>20</v>
      </c>
      <c r="K264" s="545">
        <f t="shared" ref="K264:K267" si="312">J264%*G264</f>
        <v>84</v>
      </c>
      <c r="L264" s="545">
        <f t="shared" ref="L264:L267" si="313">5%*((G264)+(K264))</f>
        <v>25.200000000000003</v>
      </c>
      <c r="M264" s="545">
        <f t="shared" ref="M264:M267" si="314">K264+L264</f>
        <v>109.2</v>
      </c>
      <c r="N264" s="547">
        <f t="shared" ref="N264:N267" si="315">(+M264+G264)*C264</f>
        <v>52920.000000000007</v>
      </c>
      <c r="O264" s="545">
        <f t="shared" ref="O264:O267" si="316">N264/C264</f>
        <v>529.20000000000005</v>
      </c>
    </row>
    <row r="265" spans="1:16" ht="22" x14ac:dyDescent="0.2">
      <c r="A265" s="636">
        <v>7.2</v>
      </c>
      <c r="B265" s="636" t="s">
        <v>1283</v>
      </c>
      <c r="C265" s="637">
        <v>3</v>
      </c>
      <c r="D265" s="641" t="s">
        <v>1049</v>
      </c>
      <c r="E265" s="637">
        <v>800</v>
      </c>
      <c r="F265" s="569">
        <f t="shared" ref="F265:F266" si="317">+E265*0.4</f>
        <v>320</v>
      </c>
      <c r="G265" s="545">
        <f t="shared" si="310"/>
        <v>1120</v>
      </c>
      <c r="H265" s="563">
        <v>12</v>
      </c>
      <c r="I265" s="546">
        <v>8</v>
      </c>
      <c r="J265" s="545">
        <f t="shared" si="311"/>
        <v>20</v>
      </c>
      <c r="K265" s="545">
        <f t="shared" si="312"/>
        <v>224</v>
      </c>
      <c r="L265" s="545">
        <f t="shared" si="313"/>
        <v>67.2</v>
      </c>
      <c r="M265" s="545">
        <f t="shared" si="314"/>
        <v>291.2</v>
      </c>
      <c r="N265" s="547">
        <f t="shared" si="315"/>
        <v>4233.6000000000004</v>
      </c>
      <c r="O265" s="545">
        <f t="shared" si="316"/>
        <v>1411.2</v>
      </c>
    </row>
    <row r="266" spans="1:16" ht="22" x14ac:dyDescent="0.2">
      <c r="A266" s="636">
        <v>7.3</v>
      </c>
      <c r="B266" s="636" t="s">
        <v>1267</v>
      </c>
      <c r="C266" s="637">
        <f>107.38*1.1</f>
        <v>118.11800000000001</v>
      </c>
      <c r="D266" s="641" t="s">
        <v>892</v>
      </c>
      <c r="E266" s="637">
        <v>150</v>
      </c>
      <c r="F266" s="569">
        <f t="shared" si="317"/>
        <v>60</v>
      </c>
      <c r="G266" s="545">
        <f t="shared" si="310"/>
        <v>210</v>
      </c>
      <c r="H266" s="563">
        <v>12</v>
      </c>
      <c r="I266" s="546">
        <v>8</v>
      </c>
      <c r="J266" s="545">
        <f t="shared" si="311"/>
        <v>20</v>
      </c>
      <c r="K266" s="545">
        <f t="shared" si="312"/>
        <v>42</v>
      </c>
      <c r="L266" s="545">
        <f t="shared" si="313"/>
        <v>12.600000000000001</v>
      </c>
      <c r="M266" s="545">
        <f t="shared" si="314"/>
        <v>54.6</v>
      </c>
      <c r="N266" s="547">
        <f t="shared" si="315"/>
        <v>31254.022800000006</v>
      </c>
      <c r="O266" s="545">
        <f t="shared" si="316"/>
        <v>264.60000000000002</v>
      </c>
    </row>
    <row r="267" spans="1:16" ht="22" x14ac:dyDescent="0.2">
      <c r="A267" s="636">
        <v>7.4</v>
      </c>
      <c r="B267" s="620" t="s">
        <v>1279</v>
      </c>
      <c r="C267" s="637">
        <v>1</v>
      </c>
      <c r="D267" s="641" t="s">
        <v>5</v>
      </c>
      <c r="E267" s="637">
        <v>5000</v>
      </c>
      <c r="F267" s="569">
        <v>0</v>
      </c>
      <c r="G267" s="545">
        <f t="shared" si="310"/>
        <v>5000</v>
      </c>
      <c r="H267" s="563">
        <v>12</v>
      </c>
      <c r="I267" s="546">
        <v>8</v>
      </c>
      <c r="J267" s="545">
        <f t="shared" si="311"/>
        <v>20</v>
      </c>
      <c r="K267" s="545">
        <f t="shared" si="312"/>
        <v>1000</v>
      </c>
      <c r="L267" s="545">
        <f t="shared" si="313"/>
        <v>300</v>
      </c>
      <c r="M267" s="545">
        <f t="shared" si="314"/>
        <v>1300</v>
      </c>
      <c r="N267" s="547">
        <f t="shared" si="315"/>
        <v>6300</v>
      </c>
      <c r="O267" s="545">
        <f t="shared" si="316"/>
        <v>6300</v>
      </c>
    </row>
    <row r="268" spans="1:16" ht="21" x14ac:dyDescent="0.2">
      <c r="A268" s="650"/>
      <c r="B268" s="640"/>
      <c r="C268" s="637"/>
      <c r="D268" s="641"/>
      <c r="E268" s="637"/>
      <c r="F268" s="637"/>
      <c r="G268" s="644"/>
      <c r="H268" s="644"/>
      <c r="I268" s="644"/>
      <c r="J268" s="644"/>
      <c r="K268" s="644"/>
      <c r="L268" s="644"/>
      <c r="M268" s="645" t="s">
        <v>343</v>
      </c>
      <c r="N268" s="646">
        <f>SUM(N264:N267)</f>
        <v>94707.622800000012</v>
      </c>
      <c r="O268" s="637"/>
      <c r="P268" s="370">
        <f>N268</f>
        <v>94707.622800000012</v>
      </c>
    </row>
    <row r="269" spans="1:16" ht="22" x14ac:dyDescent="0.25">
      <c r="A269" s="651">
        <v>8</v>
      </c>
      <c r="B269" s="652" t="s">
        <v>398</v>
      </c>
      <c r="C269" s="653"/>
      <c r="D269" s="654"/>
      <c r="E269" s="653"/>
      <c r="F269" s="653"/>
      <c r="G269" s="655"/>
      <c r="H269" s="655"/>
      <c r="I269" s="655"/>
      <c r="J269" s="655"/>
      <c r="K269" s="655"/>
      <c r="L269" s="655"/>
      <c r="M269" s="655"/>
      <c r="N269" s="655"/>
      <c r="O269" s="653"/>
    </row>
    <row r="270" spans="1:16" ht="20" x14ac:dyDescent="0.2">
      <c r="A270" s="710">
        <v>21.1</v>
      </c>
      <c r="B270" s="711" t="s">
        <v>354</v>
      </c>
      <c r="C270" s="712"/>
      <c r="D270" s="713"/>
      <c r="E270" s="714"/>
      <c r="F270" s="714"/>
      <c r="G270" s="714"/>
      <c r="H270" s="715"/>
      <c r="I270" s="714"/>
      <c r="J270" s="714"/>
      <c r="K270" s="714"/>
      <c r="L270" s="714"/>
      <c r="M270" s="715"/>
      <c r="N270" s="715"/>
      <c r="O270" s="714"/>
      <c r="P270" s="743"/>
    </row>
    <row r="271" spans="1:16" ht="20" x14ac:dyDescent="0.2">
      <c r="A271" s="716" t="s">
        <v>1560</v>
      </c>
      <c r="B271" s="717" t="s">
        <v>1299</v>
      </c>
      <c r="C271" s="718">
        <v>48</v>
      </c>
      <c r="D271" s="712" t="s">
        <v>1</v>
      </c>
      <c r="E271" s="714">
        <v>1200</v>
      </c>
      <c r="F271" s="719">
        <f t="shared" ref="F271:F289" si="318">+E271*0.3</f>
        <v>360</v>
      </c>
      <c r="G271" s="719">
        <f t="shared" ref="G271:G284" si="319">E271+F271</f>
        <v>1560</v>
      </c>
      <c r="H271" s="720">
        <v>12</v>
      </c>
      <c r="I271" s="721">
        <v>8</v>
      </c>
      <c r="J271" s="722">
        <f t="shared" ref="J271:J284" si="320">H271+I271</f>
        <v>20</v>
      </c>
      <c r="K271" s="722">
        <f t="shared" ref="K271:K284" si="321">J271%*G271</f>
        <v>312</v>
      </c>
      <c r="L271" s="722">
        <f t="shared" ref="L271:L284" si="322">5%*((G271)+(K271))</f>
        <v>93.600000000000009</v>
      </c>
      <c r="M271" s="720">
        <f t="shared" ref="M271:M284" si="323">K271+L271</f>
        <v>405.6</v>
      </c>
      <c r="N271" s="723">
        <f t="shared" ref="N271:N284" si="324">ROUNDUP((+M271+G271)*C271,2)</f>
        <v>94348.800000000003</v>
      </c>
      <c r="O271" s="724">
        <f t="shared" ref="O271:O284" si="325">N271/C271</f>
        <v>1965.6000000000001</v>
      </c>
      <c r="P271" s="743"/>
    </row>
    <row r="272" spans="1:16" ht="20" x14ac:dyDescent="0.2">
      <c r="A272" s="716" t="s">
        <v>1560</v>
      </c>
      <c r="B272" s="717" t="s">
        <v>1300</v>
      </c>
      <c r="C272" s="718">
        <v>12</v>
      </c>
      <c r="D272" s="712" t="s">
        <v>1</v>
      </c>
      <c r="E272" s="714">
        <v>600</v>
      </c>
      <c r="F272" s="719">
        <f t="shared" si="318"/>
        <v>180</v>
      </c>
      <c r="G272" s="719">
        <f t="shared" si="319"/>
        <v>780</v>
      </c>
      <c r="H272" s="720">
        <v>12</v>
      </c>
      <c r="I272" s="721">
        <v>8</v>
      </c>
      <c r="J272" s="722">
        <f t="shared" si="320"/>
        <v>20</v>
      </c>
      <c r="K272" s="722">
        <f t="shared" si="321"/>
        <v>156</v>
      </c>
      <c r="L272" s="722">
        <f t="shared" si="322"/>
        <v>46.800000000000004</v>
      </c>
      <c r="M272" s="720">
        <f t="shared" si="323"/>
        <v>202.8</v>
      </c>
      <c r="N272" s="723">
        <f t="shared" si="324"/>
        <v>11793.6</v>
      </c>
      <c r="O272" s="724">
        <f t="shared" si="325"/>
        <v>982.80000000000007</v>
      </c>
      <c r="P272" s="743"/>
    </row>
    <row r="273" spans="1:16" ht="20" x14ac:dyDescent="0.2">
      <c r="A273" s="716" t="s">
        <v>1560</v>
      </c>
      <c r="B273" s="717" t="s">
        <v>1301</v>
      </c>
      <c r="C273" s="718">
        <v>20</v>
      </c>
      <c r="D273" s="712" t="s">
        <v>1</v>
      </c>
      <c r="E273" s="714">
        <v>600</v>
      </c>
      <c r="F273" s="719">
        <f t="shared" si="318"/>
        <v>180</v>
      </c>
      <c r="G273" s="719">
        <f t="shared" si="319"/>
        <v>780</v>
      </c>
      <c r="H273" s="720">
        <v>12</v>
      </c>
      <c r="I273" s="721">
        <v>8</v>
      </c>
      <c r="J273" s="722">
        <f t="shared" si="320"/>
        <v>20</v>
      </c>
      <c r="K273" s="722">
        <f t="shared" si="321"/>
        <v>156</v>
      </c>
      <c r="L273" s="722">
        <f t="shared" si="322"/>
        <v>46.800000000000004</v>
      </c>
      <c r="M273" s="720">
        <f t="shared" si="323"/>
        <v>202.8</v>
      </c>
      <c r="N273" s="723">
        <f t="shared" si="324"/>
        <v>19656</v>
      </c>
      <c r="O273" s="724">
        <f t="shared" si="325"/>
        <v>982.8</v>
      </c>
      <c r="P273" s="743"/>
    </row>
    <row r="274" spans="1:16" ht="20" x14ac:dyDescent="0.2">
      <c r="A274" s="716" t="s">
        <v>1560</v>
      </c>
      <c r="B274" s="717" t="s">
        <v>1302</v>
      </c>
      <c r="C274" s="718">
        <v>26</v>
      </c>
      <c r="D274" s="712" t="s">
        <v>1</v>
      </c>
      <c r="E274" s="714">
        <v>350</v>
      </c>
      <c r="F274" s="719">
        <f t="shared" si="318"/>
        <v>105</v>
      </c>
      <c r="G274" s="719">
        <f t="shared" si="319"/>
        <v>455</v>
      </c>
      <c r="H274" s="720">
        <v>12</v>
      </c>
      <c r="I274" s="721">
        <v>8</v>
      </c>
      <c r="J274" s="722">
        <f t="shared" si="320"/>
        <v>20</v>
      </c>
      <c r="K274" s="722">
        <f t="shared" si="321"/>
        <v>91</v>
      </c>
      <c r="L274" s="722">
        <f t="shared" si="322"/>
        <v>27.3</v>
      </c>
      <c r="M274" s="720">
        <f t="shared" si="323"/>
        <v>118.3</v>
      </c>
      <c r="N274" s="723">
        <f t="shared" si="324"/>
        <v>14905.8</v>
      </c>
      <c r="O274" s="724">
        <f t="shared" si="325"/>
        <v>573.29999999999995</v>
      </c>
      <c r="P274" s="743"/>
    </row>
    <row r="275" spans="1:16" ht="20" x14ac:dyDescent="0.2">
      <c r="A275" s="716" t="s">
        <v>1560</v>
      </c>
      <c r="B275" s="717" t="s">
        <v>1303</v>
      </c>
      <c r="C275" s="718">
        <v>19</v>
      </c>
      <c r="D275" s="712" t="s">
        <v>1</v>
      </c>
      <c r="E275" s="714">
        <v>2000</v>
      </c>
      <c r="F275" s="719">
        <f t="shared" si="318"/>
        <v>600</v>
      </c>
      <c r="G275" s="719">
        <f t="shared" si="319"/>
        <v>2600</v>
      </c>
      <c r="H275" s="720">
        <v>12</v>
      </c>
      <c r="I275" s="721">
        <v>8</v>
      </c>
      <c r="J275" s="722">
        <f t="shared" si="320"/>
        <v>20</v>
      </c>
      <c r="K275" s="722">
        <f t="shared" si="321"/>
        <v>520</v>
      </c>
      <c r="L275" s="722">
        <f t="shared" si="322"/>
        <v>156</v>
      </c>
      <c r="M275" s="720">
        <f t="shared" si="323"/>
        <v>676</v>
      </c>
      <c r="N275" s="723">
        <f t="shared" si="324"/>
        <v>62244</v>
      </c>
      <c r="O275" s="724">
        <f t="shared" si="325"/>
        <v>3276</v>
      </c>
      <c r="P275" s="743"/>
    </row>
    <row r="276" spans="1:16" ht="40" x14ac:dyDescent="0.2">
      <c r="A276" s="716" t="s">
        <v>1560</v>
      </c>
      <c r="B276" s="717" t="s">
        <v>1477</v>
      </c>
      <c r="C276" s="718">
        <v>30</v>
      </c>
      <c r="D276" s="712" t="s">
        <v>1</v>
      </c>
      <c r="E276" s="714">
        <v>800</v>
      </c>
      <c r="F276" s="719">
        <f t="shared" si="318"/>
        <v>240</v>
      </c>
      <c r="G276" s="719">
        <f t="shared" si="319"/>
        <v>1040</v>
      </c>
      <c r="H276" s="720">
        <v>12</v>
      </c>
      <c r="I276" s="721">
        <v>8</v>
      </c>
      <c r="J276" s="722">
        <f t="shared" si="320"/>
        <v>20</v>
      </c>
      <c r="K276" s="722">
        <f t="shared" si="321"/>
        <v>208</v>
      </c>
      <c r="L276" s="722">
        <f t="shared" si="322"/>
        <v>62.400000000000006</v>
      </c>
      <c r="M276" s="720">
        <f t="shared" si="323"/>
        <v>270.39999999999998</v>
      </c>
      <c r="N276" s="723">
        <f t="shared" si="324"/>
        <v>39312</v>
      </c>
      <c r="O276" s="724">
        <f t="shared" si="325"/>
        <v>1310.4000000000001</v>
      </c>
      <c r="P276" s="743"/>
    </row>
    <row r="277" spans="1:16" ht="20" x14ac:dyDescent="0.2">
      <c r="A277" s="716" t="s">
        <v>1560</v>
      </c>
      <c r="B277" s="717" t="s">
        <v>1561</v>
      </c>
      <c r="C277" s="718">
        <v>12</v>
      </c>
      <c r="D277" s="712" t="s">
        <v>1</v>
      </c>
      <c r="E277" s="714">
        <v>900</v>
      </c>
      <c r="F277" s="719">
        <f t="shared" si="318"/>
        <v>270</v>
      </c>
      <c r="G277" s="719">
        <f t="shared" si="319"/>
        <v>1170</v>
      </c>
      <c r="H277" s="720">
        <v>12</v>
      </c>
      <c r="I277" s="721">
        <v>8</v>
      </c>
      <c r="J277" s="722">
        <f t="shared" si="320"/>
        <v>20</v>
      </c>
      <c r="K277" s="722">
        <f t="shared" si="321"/>
        <v>234</v>
      </c>
      <c r="L277" s="722">
        <f t="shared" si="322"/>
        <v>70.2</v>
      </c>
      <c r="M277" s="720">
        <f t="shared" si="323"/>
        <v>304.2</v>
      </c>
      <c r="N277" s="723">
        <f t="shared" si="324"/>
        <v>17690.400000000001</v>
      </c>
      <c r="O277" s="724">
        <f t="shared" si="325"/>
        <v>1474.2</v>
      </c>
      <c r="P277" s="743"/>
    </row>
    <row r="278" spans="1:16" ht="20" x14ac:dyDescent="0.2">
      <c r="A278" s="716" t="s">
        <v>1560</v>
      </c>
      <c r="B278" s="717" t="s">
        <v>1562</v>
      </c>
      <c r="C278" s="718">
        <v>5</v>
      </c>
      <c r="D278" s="712" t="s">
        <v>1</v>
      </c>
      <c r="E278" s="714">
        <v>3000</v>
      </c>
      <c r="F278" s="719">
        <f t="shared" si="318"/>
        <v>900</v>
      </c>
      <c r="G278" s="719">
        <f t="shared" si="319"/>
        <v>3900</v>
      </c>
      <c r="H278" s="720">
        <v>12</v>
      </c>
      <c r="I278" s="721">
        <v>8</v>
      </c>
      <c r="J278" s="722">
        <f t="shared" si="320"/>
        <v>20</v>
      </c>
      <c r="K278" s="722">
        <f t="shared" si="321"/>
        <v>780</v>
      </c>
      <c r="L278" s="722">
        <f t="shared" si="322"/>
        <v>234</v>
      </c>
      <c r="M278" s="720">
        <f t="shared" si="323"/>
        <v>1014</v>
      </c>
      <c r="N278" s="723">
        <f t="shared" si="324"/>
        <v>24570</v>
      </c>
      <c r="O278" s="724">
        <f t="shared" si="325"/>
        <v>4914</v>
      </c>
      <c r="P278" s="743"/>
    </row>
    <row r="279" spans="1:16" ht="20" x14ac:dyDescent="0.2">
      <c r="A279" s="716" t="s">
        <v>1560</v>
      </c>
      <c r="B279" s="717" t="s">
        <v>1476</v>
      </c>
      <c r="C279" s="718">
        <v>2</v>
      </c>
      <c r="D279" s="712" t="s">
        <v>1</v>
      </c>
      <c r="E279" s="714">
        <v>3000</v>
      </c>
      <c r="F279" s="719">
        <f t="shared" si="318"/>
        <v>900</v>
      </c>
      <c r="G279" s="719">
        <f t="shared" si="319"/>
        <v>3900</v>
      </c>
      <c r="H279" s="720">
        <v>12</v>
      </c>
      <c r="I279" s="721">
        <v>8</v>
      </c>
      <c r="J279" s="722">
        <f t="shared" si="320"/>
        <v>20</v>
      </c>
      <c r="K279" s="722">
        <f t="shared" si="321"/>
        <v>780</v>
      </c>
      <c r="L279" s="722">
        <f t="shared" si="322"/>
        <v>234</v>
      </c>
      <c r="M279" s="720">
        <f t="shared" si="323"/>
        <v>1014</v>
      </c>
      <c r="N279" s="723">
        <f t="shared" si="324"/>
        <v>9828</v>
      </c>
      <c r="O279" s="724">
        <f t="shared" si="325"/>
        <v>4914</v>
      </c>
      <c r="P279" s="743"/>
    </row>
    <row r="280" spans="1:16" ht="20" x14ac:dyDescent="0.2">
      <c r="A280" s="716" t="s">
        <v>1563</v>
      </c>
      <c r="B280" s="725" t="s">
        <v>1307</v>
      </c>
      <c r="C280" s="718">
        <v>11</v>
      </c>
      <c r="D280" s="712" t="s">
        <v>1</v>
      </c>
      <c r="E280" s="714">
        <v>250</v>
      </c>
      <c r="F280" s="719">
        <f t="shared" si="318"/>
        <v>75</v>
      </c>
      <c r="G280" s="719">
        <f t="shared" si="319"/>
        <v>325</v>
      </c>
      <c r="H280" s="720">
        <v>12</v>
      </c>
      <c r="I280" s="721">
        <v>8</v>
      </c>
      <c r="J280" s="722">
        <f t="shared" si="320"/>
        <v>20</v>
      </c>
      <c r="K280" s="722">
        <f t="shared" si="321"/>
        <v>65</v>
      </c>
      <c r="L280" s="722">
        <f t="shared" si="322"/>
        <v>19.5</v>
      </c>
      <c r="M280" s="720">
        <f t="shared" si="323"/>
        <v>84.5</v>
      </c>
      <c r="N280" s="723">
        <f t="shared" si="324"/>
        <v>4504.5</v>
      </c>
      <c r="O280" s="724">
        <f t="shared" si="325"/>
        <v>409.5</v>
      </c>
      <c r="P280" s="743"/>
    </row>
    <row r="281" spans="1:16" ht="20" x14ac:dyDescent="0.2">
      <c r="A281" s="716" t="s">
        <v>1563</v>
      </c>
      <c r="B281" s="725" t="s">
        <v>1308</v>
      </c>
      <c r="C281" s="718">
        <v>6</v>
      </c>
      <c r="D281" s="712" t="s">
        <v>1</v>
      </c>
      <c r="E281" s="714">
        <v>300</v>
      </c>
      <c r="F281" s="719">
        <f t="shared" si="318"/>
        <v>90</v>
      </c>
      <c r="G281" s="719">
        <f t="shared" si="319"/>
        <v>390</v>
      </c>
      <c r="H281" s="720">
        <v>12</v>
      </c>
      <c r="I281" s="721">
        <v>8</v>
      </c>
      <c r="J281" s="722">
        <f t="shared" si="320"/>
        <v>20</v>
      </c>
      <c r="K281" s="722">
        <f t="shared" si="321"/>
        <v>78</v>
      </c>
      <c r="L281" s="722">
        <f t="shared" si="322"/>
        <v>23.400000000000002</v>
      </c>
      <c r="M281" s="720">
        <f t="shared" si="323"/>
        <v>101.4</v>
      </c>
      <c r="N281" s="723">
        <f t="shared" si="324"/>
        <v>2948.4</v>
      </c>
      <c r="O281" s="724">
        <f t="shared" si="325"/>
        <v>491.40000000000003</v>
      </c>
      <c r="P281" s="743"/>
    </row>
    <row r="282" spans="1:16" ht="20" x14ac:dyDescent="0.2">
      <c r="A282" s="716" t="s">
        <v>1563</v>
      </c>
      <c r="B282" s="725" t="s">
        <v>1309</v>
      </c>
      <c r="C282" s="718">
        <v>2</v>
      </c>
      <c r="D282" s="712" t="s">
        <v>1</v>
      </c>
      <c r="E282" s="714">
        <v>350</v>
      </c>
      <c r="F282" s="719">
        <f t="shared" si="318"/>
        <v>105</v>
      </c>
      <c r="G282" s="719">
        <f t="shared" si="319"/>
        <v>455</v>
      </c>
      <c r="H282" s="720">
        <v>12</v>
      </c>
      <c r="I282" s="721">
        <v>8</v>
      </c>
      <c r="J282" s="722">
        <f t="shared" si="320"/>
        <v>20</v>
      </c>
      <c r="K282" s="722">
        <f t="shared" si="321"/>
        <v>91</v>
      </c>
      <c r="L282" s="722">
        <f t="shared" si="322"/>
        <v>27.3</v>
      </c>
      <c r="M282" s="720">
        <f t="shared" si="323"/>
        <v>118.3</v>
      </c>
      <c r="N282" s="723">
        <f t="shared" si="324"/>
        <v>1146.5999999999999</v>
      </c>
      <c r="O282" s="724">
        <f t="shared" si="325"/>
        <v>573.29999999999995</v>
      </c>
      <c r="P282" s="743"/>
    </row>
    <row r="283" spans="1:16" ht="20" x14ac:dyDescent="0.2">
      <c r="A283" s="716" t="s">
        <v>1564</v>
      </c>
      <c r="B283" s="725" t="s">
        <v>1565</v>
      </c>
      <c r="C283" s="718">
        <v>146</v>
      </c>
      <c r="D283" s="712" t="s">
        <v>352</v>
      </c>
      <c r="E283" s="714">
        <v>110</v>
      </c>
      <c r="F283" s="719">
        <f t="shared" si="318"/>
        <v>33</v>
      </c>
      <c r="G283" s="719">
        <f t="shared" si="319"/>
        <v>143</v>
      </c>
      <c r="H283" s="720">
        <v>12</v>
      </c>
      <c r="I283" s="721">
        <v>8</v>
      </c>
      <c r="J283" s="722">
        <f t="shared" si="320"/>
        <v>20</v>
      </c>
      <c r="K283" s="722">
        <f t="shared" si="321"/>
        <v>28.6</v>
      </c>
      <c r="L283" s="722">
        <f t="shared" si="322"/>
        <v>8.58</v>
      </c>
      <c r="M283" s="720">
        <f t="shared" si="323"/>
        <v>37.18</v>
      </c>
      <c r="N283" s="723">
        <f t="shared" si="324"/>
        <v>26306.28</v>
      </c>
      <c r="O283" s="724">
        <f t="shared" si="325"/>
        <v>180.17999999999998</v>
      </c>
      <c r="P283" s="743"/>
    </row>
    <row r="284" spans="1:16" ht="20" x14ac:dyDescent="0.2">
      <c r="A284" s="716" t="s">
        <v>1566</v>
      </c>
      <c r="B284" s="725" t="s">
        <v>1325</v>
      </c>
      <c r="C284" s="718">
        <v>3</v>
      </c>
      <c r="D284" s="713" t="s">
        <v>214</v>
      </c>
      <c r="E284" s="714">
        <v>1200</v>
      </c>
      <c r="F284" s="719">
        <f t="shared" si="318"/>
        <v>360</v>
      </c>
      <c r="G284" s="719">
        <f t="shared" si="319"/>
        <v>1560</v>
      </c>
      <c r="H284" s="720">
        <v>12</v>
      </c>
      <c r="I284" s="721">
        <v>8</v>
      </c>
      <c r="J284" s="722">
        <f t="shared" si="320"/>
        <v>20</v>
      </c>
      <c r="K284" s="722">
        <f t="shared" si="321"/>
        <v>312</v>
      </c>
      <c r="L284" s="722">
        <f t="shared" si="322"/>
        <v>93.600000000000009</v>
      </c>
      <c r="M284" s="720">
        <f t="shared" si="323"/>
        <v>405.6</v>
      </c>
      <c r="N284" s="723">
        <f t="shared" si="324"/>
        <v>5896.8</v>
      </c>
      <c r="O284" s="724">
        <f t="shared" si="325"/>
        <v>1965.6000000000001</v>
      </c>
      <c r="P284" s="743"/>
    </row>
    <row r="285" spans="1:16" ht="20" x14ac:dyDescent="0.2">
      <c r="A285" s="716" t="s">
        <v>1566</v>
      </c>
      <c r="B285" s="725" t="s">
        <v>1326</v>
      </c>
      <c r="C285" s="718">
        <v>2</v>
      </c>
      <c r="D285" s="713" t="s">
        <v>214</v>
      </c>
      <c r="E285" s="714">
        <v>1450</v>
      </c>
      <c r="F285" s="719">
        <f t="shared" si="318"/>
        <v>435</v>
      </c>
      <c r="G285" s="719">
        <f>E285+F285</f>
        <v>1885</v>
      </c>
      <c r="H285" s="720">
        <v>12</v>
      </c>
      <c r="I285" s="721">
        <v>8</v>
      </c>
      <c r="J285" s="722">
        <f>H285+I285</f>
        <v>20</v>
      </c>
      <c r="K285" s="722">
        <f>J285%*G285</f>
        <v>377</v>
      </c>
      <c r="L285" s="722">
        <f>5%*((G285)+(K285))</f>
        <v>113.10000000000001</v>
      </c>
      <c r="M285" s="720">
        <f>K285+L285</f>
        <v>490.1</v>
      </c>
      <c r="N285" s="723">
        <f>ROUNDUP((+M285+G285)*C285,2)</f>
        <v>4750.2</v>
      </c>
      <c r="O285" s="724">
        <f>N285/C285</f>
        <v>2375.1</v>
      </c>
      <c r="P285" s="743"/>
    </row>
    <row r="286" spans="1:16" ht="20" x14ac:dyDescent="0.2">
      <c r="A286" s="716" t="s">
        <v>1567</v>
      </c>
      <c r="B286" s="725" t="s">
        <v>1332</v>
      </c>
      <c r="C286" s="718">
        <v>11</v>
      </c>
      <c r="D286" s="713" t="s">
        <v>172</v>
      </c>
      <c r="E286" s="714">
        <v>6100</v>
      </c>
      <c r="F286" s="719">
        <f t="shared" si="318"/>
        <v>1830</v>
      </c>
      <c r="G286" s="719">
        <f t="shared" ref="G286:G289" si="326">E286+F286</f>
        <v>7930</v>
      </c>
      <c r="H286" s="720">
        <v>12</v>
      </c>
      <c r="I286" s="721">
        <v>8</v>
      </c>
      <c r="J286" s="722">
        <f t="shared" ref="J286:J289" si="327">H286+I286</f>
        <v>20</v>
      </c>
      <c r="K286" s="722">
        <f t="shared" ref="K286:K289" si="328">J286%*G286</f>
        <v>1586</v>
      </c>
      <c r="L286" s="722">
        <f t="shared" ref="L286:L289" si="329">5%*((G286)+(K286))</f>
        <v>475.8</v>
      </c>
      <c r="M286" s="720">
        <f t="shared" ref="M286:M289" si="330">K286+L286</f>
        <v>2061.8000000000002</v>
      </c>
      <c r="N286" s="723">
        <f t="shared" ref="N286:N289" si="331">ROUNDUP((+M286+G286)*C286,2)</f>
        <v>109909.8</v>
      </c>
      <c r="O286" s="724">
        <f t="shared" ref="O286:O289" si="332">N286/C286</f>
        <v>9991.8000000000011</v>
      </c>
      <c r="P286" s="743"/>
    </row>
    <row r="287" spans="1:16" ht="20" x14ac:dyDescent="0.2">
      <c r="A287" s="716" t="s">
        <v>1568</v>
      </c>
      <c r="B287" s="725" t="s">
        <v>1339</v>
      </c>
      <c r="C287" s="718">
        <v>30</v>
      </c>
      <c r="D287" s="712" t="s">
        <v>1</v>
      </c>
      <c r="E287" s="714">
        <v>50</v>
      </c>
      <c r="F287" s="719">
        <f t="shared" si="318"/>
        <v>15</v>
      </c>
      <c r="G287" s="719">
        <f t="shared" si="326"/>
        <v>65</v>
      </c>
      <c r="H287" s="720">
        <v>12</v>
      </c>
      <c r="I287" s="721">
        <v>8</v>
      </c>
      <c r="J287" s="722">
        <f t="shared" si="327"/>
        <v>20</v>
      </c>
      <c r="K287" s="722">
        <f t="shared" si="328"/>
        <v>13</v>
      </c>
      <c r="L287" s="722">
        <f t="shared" si="329"/>
        <v>3.9000000000000004</v>
      </c>
      <c r="M287" s="720">
        <f t="shared" si="330"/>
        <v>16.899999999999999</v>
      </c>
      <c r="N287" s="723">
        <f t="shared" si="331"/>
        <v>2457</v>
      </c>
      <c r="O287" s="724">
        <f t="shared" si="332"/>
        <v>81.900000000000006</v>
      </c>
      <c r="P287" s="743"/>
    </row>
    <row r="288" spans="1:16" ht="20" x14ac:dyDescent="0.2">
      <c r="A288" s="716" t="s">
        <v>1569</v>
      </c>
      <c r="B288" s="725" t="s">
        <v>1570</v>
      </c>
      <c r="C288" s="718">
        <v>200</v>
      </c>
      <c r="D288" s="712" t="s">
        <v>1</v>
      </c>
      <c r="E288" s="714">
        <v>50</v>
      </c>
      <c r="F288" s="719">
        <f t="shared" si="318"/>
        <v>15</v>
      </c>
      <c r="G288" s="719">
        <f t="shared" si="326"/>
        <v>65</v>
      </c>
      <c r="H288" s="720">
        <v>12</v>
      </c>
      <c r="I288" s="721">
        <v>8</v>
      </c>
      <c r="J288" s="722">
        <f t="shared" si="327"/>
        <v>20</v>
      </c>
      <c r="K288" s="722">
        <f t="shared" si="328"/>
        <v>13</v>
      </c>
      <c r="L288" s="722">
        <f t="shared" si="329"/>
        <v>3.9000000000000004</v>
      </c>
      <c r="M288" s="720">
        <f t="shared" si="330"/>
        <v>16.899999999999999</v>
      </c>
      <c r="N288" s="723">
        <f t="shared" si="331"/>
        <v>16380</v>
      </c>
      <c r="O288" s="724">
        <f t="shared" si="332"/>
        <v>81.900000000000006</v>
      </c>
      <c r="P288" s="743"/>
    </row>
    <row r="289" spans="1:16" ht="20" x14ac:dyDescent="0.2">
      <c r="A289" s="716" t="s">
        <v>1566</v>
      </c>
      <c r="B289" s="725" t="s">
        <v>1343</v>
      </c>
      <c r="C289" s="718">
        <v>1</v>
      </c>
      <c r="D289" s="713" t="s">
        <v>5</v>
      </c>
      <c r="E289" s="714">
        <v>27000</v>
      </c>
      <c r="F289" s="719">
        <f t="shared" si="318"/>
        <v>8100</v>
      </c>
      <c r="G289" s="719">
        <f t="shared" si="326"/>
        <v>35100</v>
      </c>
      <c r="H289" s="720">
        <v>12</v>
      </c>
      <c r="I289" s="721">
        <v>8</v>
      </c>
      <c r="J289" s="722">
        <f t="shared" si="327"/>
        <v>20</v>
      </c>
      <c r="K289" s="722">
        <f t="shared" si="328"/>
        <v>7020</v>
      </c>
      <c r="L289" s="722">
        <f t="shared" si="329"/>
        <v>2106</v>
      </c>
      <c r="M289" s="720">
        <f t="shared" si="330"/>
        <v>9126</v>
      </c>
      <c r="N289" s="723">
        <f t="shared" si="331"/>
        <v>44226</v>
      </c>
      <c r="O289" s="724">
        <f t="shared" si="332"/>
        <v>44226</v>
      </c>
      <c r="P289" s="743"/>
    </row>
    <row r="290" spans="1:16" ht="19" x14ac:dyDescent="0.25">
      <c r="A290" s="710"/>
      <c r="B290" s="726"/>
      <c r="C290" s="718"/>
      <c r="D290" s="713"/>
      <c r="E290" s="712"/>
      <c r="F290" s="712"/>
      <c r="G290" s="714"/>
      <c r="H290" s="714"/>
      <c r="I290" s="714"/>
      <c r="J290" s="714"/>
      <c r="K290" s="714"/>
      <c r="L290" s="714"/>
      <c r="M290" s="727" t="s">
        <v>343</v>
      </c>
      <c r="N290" s="728">
        <f>SUM(N271:N289)</f>
        <v>512874.18</v>
      </c>
      <c r="O290" s="712"/>
      <c r="P290" s="743">
        <f>+N290</f>
        <v>512874.18</v>
      </c>
    </row>
    <row r="291" spans="1:16" ht="20" x14ac:dyDescent="0.2">
      <c r="A291" s="710">
        <v>21.2</v>
      </c>
      <c r="B291" s="711" t="s">
        <v>371</v>
      </c>
      <c r="C291" s="718"/>
      <c r="D291" s="712"/>
      <c r="E291" s="714"/>
      <c r="F291" s="714"/>
      <c r="G291" s="714"/>
      <c r="H291" s="714"/>
      <c r="I291" s="714"/>
      <c r="J291" s="714"/>
      <c r="K291" s="714"/>
      <c r="L291" s="714"/>
      <c r="M291" s="714"/>
      <c r="N291" s="714"/>
      <c r="O291" s="729"/>
      <c r="P291" s="743"/>
    </row>
    <row r="292" spans="1:16" ht="20" x14ac:dyDescent="0.2">
      <c r="A292" s="716" t="s">
        <v>1571</v>
      </c>
      <c r="B292" s="725" t="s">
        <v>1306</v>
      </c>
      <c r="C292" s="718">
        <v>28</v>
      </c>
      <c r="D292" s="712" t="s">
        <v>1</v>
      </c>
      <c r="E292" s="714">
        <v>400</v>
      </c>
      <c r="F292" s="719">
        <f t="shared" ref="F292:F296" si="333">+E292*0.3</f>
        <v>120</v>
      </c>
      <c r="G292" s="719">
        <f t="shared" ref="G292:G296" si="334">E292+F292</f>
        <v>520</v>
      </c>
      <c r="H292" s="720">
        <v>12</v>
      </c>
      <c r="I292" s="721">
        <v>8</v>
      </c>
      <c r="J292" s="722">
        <f t="shared" ref="J292:J296" si="335">H292+I292</f>
        <v>20</v>
      </c>
      <c r="K292" s="722">
        <f t="shared" ref="K292:K296" si="336">J292%*G292</f>
        <v>104</v>
      </c>
      <c r="L292" s="722">
        <f t="shared" ref="L292:L296" si="337">5%*((G292)+(K292))</f>
        <v>31.200000000000003</v>
      </c>
      <c r="M292" s="720">
        <f t="shared" ref="M292:M296" si="338">K292+L292</f>
        <v>135.19999999999999</v>
      </c>
      <c r="N292" s="723">
        <f t="shared" ref="N292:N296" si="339">ROUNDUP((+M292+G292)*C292,2)</f>
        <v>18345.599999999999</v>
      </c>
      <c r="O292" s="724">
        <f t="shared" ref="O292:O296" si="340">N292/C292</f>
        <v>655.19999999999993</v>
      </c>
      <c r="P292" s="743"/>
    </row>
    <row r="293" spans="1:16" ht="20" x14ac:dyDescent="0.2">
      <c r="A293" s="716" t="s">
        <v>1564</v>
      </c>
      <c r="B293" s="725" t="s">
        <v>1565</v>
      </c>
      <c r="C293" s="718">
        <v>65</v>
      </c>
      <c r="D293" s="712" t="s">
        <v>352</v>
      </c>
      <c r="E293" s="714">
        <v>110</v>
      </c>
      <c r="F293" s="719">
        <f t="shared" si="333"/>
        <v>33</v>
      </c>
      <c r="G293" s="719">
        <f t="shared" si="334"/>
        <v>143</v>
      </c>
      <c r="H293" s="720">
        <v>12</v>
      </c>
      <c r="I293" s="721">
        <v>8</v>
      </c>
      <c r="J293" s="722">
        <f t="shared" si="335"/>
        <v>20</v>
      </c>
      <c r="K293" s="722">
        <f t="shared" si="336"/>
        <v>28.6</v>
      </c>
      <c r="L293" s="722">
        <f t="shared" si="337"/>
        <v>8.58</v>
      </c>
      <c r="M293" s="720">
        <f t="shared" si="338"/>
        <v>37.18</v>
      </c>
      <c r="N293" s="723">
        <f t="shared" si="339"/>
        <v>11711.7</v>
      </c>
      <c r="O293" s="724">
        <f t="shared" si="340"/>
        <v>180.18</v>
      </c>
      <c r="P293" s="743"/>
    </row>
    <row r="294" spans="1:16" ht="20" x14ac:dyDescent="0.2">
      <c r="A294" s="716" t="s">
        <v>1567</v>
      </c>
      <c r="B294" s="725" t="s">
        <v>1332</v>
      </c>
      <c r="C294" s="718">
        <v>4</v>
      </c>
      <c r="D294" s="713" t="s">
        <v>172</v>
      </c>
      <c r="E294" s="714">
        <v>6100</v>
      </c>
      <c r="F294" s="719">
        <f t="shared" si="333"/>
        <v>1830</v>
      </c>
      <c r="G294" s="719">
        <f t="shared" si="334"/>
        <v>7930</v>
      </c>
      <c r="H294" s="720">
        <v>12</v>
      </c>
      <c r="I294" s="721">
        <v>8</v>
      </c>
      <c r="J294" s="722">
        <f t="shared" si="335"/>
        <v>20</v>
      </c>
      <c r="K294" s="722">
        <f t="shared" si="336"/>
        <v>1586</v>
      </c>
      <c r="L294" s="722">
        <f t="shared" si="337"/>
        <v>475.8</v>
      </c>
      <c r="M294" s="720">
        <f t="shared" si="338"/>
        <v>2061.8000000000002</v>
      </c>
      <c r="N294" s="723">
        <f t="shared" si="339"/>
        <v>39967.199999999997</v>
      </c>
      <c r="O294" s="724">
        <f t="shared" si="340"/>
        <v>9991.7999999999993</v>
      </c>
      <c r="P294" s="743"/>
    </row>
    <row r="295" spans="1:16" ht="20" x14ac:dyDescent="0.2">
      <c r="A295" s="716" t="s">
        <v>1568</v>
      </c>
      <c r="B295" s="725" t="s">
        <v>1339</v>
      </c>
      <c r="C295" s="718">
        <v>30</v>
      </c>
      <c r="D295" s="712" t="s">
        <v>1</v>
      </c>
      <c r="E295" s="714">
        <v>50</v>
      </c>
      <c r="F295" s="719">
        <f t="shared" si="333"/>
        <v>15</v>
      </c>
      <c r="G295" s="719">
        <f t="shared" si="334"/>
        <v>65</v>
      </c>
      <c r="H295" s="720">
        <v>12</v>
      </c>
      <c r="I295" s="721">
        <v>8</v>
      </c>
      <c r="J295" s="722">
        <f t="shared" si="335"/>
        <v>20</v>
      </c>
      <c r="K295" s="722">
        <f t="shared" si="336"/>
        <v>13</v>
      </c>
      <c r="L295" s="722">
        <f t="shared" si="337"/>
        <v>3.9000000000000004</v>
      </c>
      <c r="M295" s="720">
        <f t="shared" si="338"/>
        <v>16.899999999999999</v>
      </c>
      <c r="N295" s="723">
        <f t="shared" si="339"/>
        <v>2457</v>
      </c>
      <c r="O295" s="724">
        <f t="shared" si="340"/>
        <v>81.900000000000006</v>
      </c>
      <c r="P295" s="743"/>
    </row>
    <row r="296" spans="1:16" ht="20" x14ac:dyDescent="0.2">
      <c r="A296" s="716" t="s">
        <v>1566</v>
      </c>
      <c r="B296" s="725" t="s">
        <v>1343</v>
      </c>
      <c r="C296" s="718">
        <v>1</v>
      </c>
      <c r="D296" s="713" t="s">
        <v>5</v>
      </c>
      <c r="E296" s="714">
        <v>10000</v>
      </c>
      <c r="F296" s="719">
        <f t="shared" si="333"/>
        <v>3000</v>
      </c>
      <c r="G296" s="719">
        <f t="shared" si="334"/>
        <v>13000</v>
      </c>
      <c r="H296" s="720">
        <v>12</v>
      </c>
      <c r="I296" s="721">
        <v>8</v>
      </c>
      <c r="J296" s="722">
        <f t="shared" si="335"/>
        <v>20</v>
      </c>
      <c r="K296" s="722">
        <f t="shared" si="336"/>
        <v>2600</v>
      </c>
      <c r="L296" s="722">
        <f t="shared" si="337"/>
        <v>780</v>
      </c>
      <c r="M296" s="720">
        <f t="shared" si="338"/>
        <v>3380</v>
      </c>
      <c r="N296" s="723">
        <f t="shared" si="339"/>
        <v>16380</v>
      </c>
      <c r="O296" s="724">
        <f t="shared" si="340"/>
        <v>16380</v>
      </c>
      <c r="P296" s="743"/>
    </row>
    <row r="297" spans="1:16" ht="19" x14ac:dyDescent="0.25">
      <c r="A297" s="710"/>
      <c r="B297" s="726"/>
      <c r="C297" s="718"/>
      <c r="D297" s="713"/>
      <c r="E297" s="712"/>
      <c r="F297" s="712"/>
      <c r="G297" s="714"/>
      <c r="H297" s="714"/>
      <c r="I297" s="714"/>
      <c r="J297" s="714"/>
      <c r="K297" s="714"/>
      <c r="L297" s="714"/>
      <c r="M297" s="727" t="s">
        <v>343</v>
      </c>
      <c r="N297" s="728">
        <f>SUM(N292:N296)</f>
        <v>88861.5</v>
      </c>
      <c r="O297" s="712"/>
      <c r="P297" s="743">
        <f>+N297</f>
        <v>88861.5</v>
      </c>
    </row>
    <row r="298" spans="1:16" ht="20" x14ac:dyDescent="0.2">
      <c r="A298" s="710">
        <v>21.2</v>
      </c>
      <c r="B298" s="711" t="s">
        <v>1572</v>
      </c>
      <c r="C298" s="718"/>
      <c r="D298" s="712"/>
      <c r="E298" s="714"/>
      <c r="F298" s="714"/>
      <c r="G298" s="714"/>
      <c r="H298" s="714"/>
      <c r="I298" s="714"/>
      <c r="J298" s="714"/>
      <c r="K298" s="714"/>
      <c r="L298" s="714"/>
      <c r="M298" s="714"/>
      <c r="N298" s="714"/>
      <c r="O298" s="729"/>
      <c r="P298" s="743"/>
    </row>
    <row r="299" spans="1:16" ht="20" x14ac:dyDescent="0.2">
      <c r="A299" s="730" t="s">
        <v>1573</v>
      </c>
      <c r="B299" s="731" t="s">
        <v>1311</v>
      </c>
      <c r="C299" s="732">
        <v>6</v>
      </c>
      <c r="D299" s="733" t="s">
        <v>1</v>
      </c>
      <c r="E299" s="734">
        <v>3000</v>
      </c>
      <c r="F299" s="719">
        <f t="shared" ref="F299:F306" si="341">+E299*0.3</f>
        <v>900</v>
      </c>
      <c r="G299" s="735">
        <f t="shared" ref="G299:G306" si="342">E299+F299</f>
        <v>3900</v>
      </c>
      <c r="H299" s="720">
        <v>12</v>
      </c>
      <c r="I299" s="736">
        <v>8</v>
      </c>
      <c r="J299" s="737">
        <f t="shared" ref="J299:J306" si="343">H299+I299</f>
        <v>20</v>
      </c>
      <c r="K299" s="737">
        <f t="shared" ref="K299:K306" si="344">J299%*G299</f>
        <v>780</v>
      </c>
      <c r="L299" s="737">
        <f t="shared" ref="L299:L306" si="345">5%*((G299)+(K299))</f>
        <v>234</v>
      </c>
      <c r="M299" s="738">
        <f t="shared" ref="M299:M306" si="346">K299+L299</f>
        <v>1014</v>
      </c>
      <c r="N299" s="739">
        <f t="shared" ref="N299:N306" si="347">ROUNDUP((+M299+G299)*C299,2)</f>
        <v>29484</v>
      </c>
      <c r="O299" s="740">
        <f t="shared" ref="O299:O306" si="348">N299/C299</f>
        <v>4914</v>
      </c>
      <c r="P299" s="744"/>
    </row>
    <row r="300" spans="1:16" ht="20" x14ac:dyDescent="0.2">
      <c r="A300" s="730" t="s">
        <v>1573</v>
      </c>
      <c r="B300" s="731" t="s">
        <v>1312</v>
      </c>
      <c r="C300" s="732">
        <v>2</v>
      </c>
      <c r="D300" s="733" t="s">
        <v>1</v>
      </c>
      <c r="E300" s="734">
        <v>3000</v>
      </c>
      <c r="F300" s="719">
        <f t="shared" si="341"/>
        <v>900</v>
      </c>
      <c r="G300" s="735">
        <f t="shared" si="342"/>
        <v>3900</v>
      </c>
      <c r="H300" s="720">
        <v>12</v>
      </c>
      <c r="I300" s="736">
        <v>8</v>
      </c>
      <c r="J300" s="737">
        <f t="shared" si="343"/>
        <v>20</v>
      </c>
      <c r="K300" s="737">
        <f t="shared" si="344"/>
        <v>780</v>
      </c>
      <c r="L300" s="737">
        <f t="shared" si="345"/>
        <v>234</v>
      </c>
      <c r="M300" s="738">
        <f t="shared" si="346"/>
        <v>1014</v>
      </c>
      <c r="N300" s="739">
        <f t="shared" si="347"/>
        <v>9828</v>
      </c>
      <c r="O300" s="740">
        <f t="shared" si="348"/>
        <v>4914</v>
      </c>
      <c r="P300" s="744"/>
    </row>
    <row r="301" spans="1:16" ht="20" x14ac:dyDescent="0.2">
      <c r="A301" s="716" t="s">
        <v>1564</v>
      </c>
      <c r="B301" s="725" t="s">
        <v>1574</v>
      </c>
      <c r="C301" s="718">
        <v>30</v>
      </c>
      <c r="D301" s="712" t="s">
        <v>352</v>
      </c>
      <c r="E301" s="714">
        <v>110</v>
      </c>
      <c r="F301" s="719">
        <f t="shared" si="341"/>
        <v>33</v>
      </c>
      <c r="G301" s="719">
        <f t="shared" si="342"/>
        <v>143</v>
      </c>
      <c r="H301" s="720">
        <v>12</v>
      </c>
      <c r="I301" s="721">
        <v>8</v>
      </c>
      <c r="J301" s="722">
        <f t="shared" si="343"/>
        <v>20</v>
      </c>
      <c r="K301" s="722">
        <f t="shared" si="344"/>
        <v>28.6</v>
      </c>
      <c r="L301" s="722">
        <f t="shared" si="345"/>
        <v>8.58</v>
      </c>
      <c r="M301" s="720">
        <f t="shared" si="346"/>
        <v>37.18</v>
      </c>
      <c r="N301" s="723">
        <f t="shared" si="347"/>
        <v>5405.4</v>
      </c>
      <c r="O301" s="724">
        <f t="shared" si="348"/>
        <v>180.17999999999998</v>
      </c>
      <c r="P301" s="743"/>
    </row>
    <row r="302" spans="1:16" ht="20" x14ac:dyDescent="0.2">
      <c r="A302" s="716" t="s">
        <v>1564</v>
      </c>
      <c r="B302" s="725" t="s">
        <v>1565</v>
      </c>
      <c r="C302" s="718">
        <v>24</v>
      </c>
      <c r="D302" s="712" t="s">
        <v>352</v>
      </c>
      <c r="E302" s="714">
        <v>110</v>
      </c>
      <c r="F302" s="719">
        <f t="shared" si="341"/>
        <v>33</v>
      </c>
      <c r="G302" s="719">
        <f t="shared" si="342"/>
        <v>143</v>
      </c>
      <c r="H302" s="720">
        <v>12</v>
      </c>
      <c r="I302" s="721">
        <v>8</v>
      </c>
      <c r="J302" s="722">
        <f t="shared" si="343"/>
        <v>20</v>
      </c>
      <c r="K302" s="722">
        <f t="shared" si="344"/>
        <v>28.6</v>
      </c>
      <c r="L302" s="722">
        <f t="shared" si="345"/>
        <v>8.58</v>
      </c>
      <c r="M302" s="720">
        <f t="shared" si="346"/>
        <v>37.18</v>
      </c>
      <c r="N302" s="723">
        <f t="shared" si="347"/>
        <v>4324.32</v>
      </c>
      <c r="O302" s="724">
        <f t="shared" si="348"/>
        <v>180.17999999999998</v>
      </c>
      <c r="P302" s="743"/>
    </row>
    <row r="303" spans="1:16" ht="20" x14ac:dyDescent="0.2">
      <c r="A303" s="716" t="s">
        <v>1567</v>
      </c>
      <c r="B303" s="725" t="s">
        <v>1330</v>
      </c>
      <c r="C303" s="718">
        <v>3</v>
      </c>
      <c r="D303" s="713" t="s">
        <v>172</v>
      </c>
      <c r="E303" s="714">
        <v>9300</v>
      </c>
      <c r="F303" s="719">
        <f t="shared" si="341"/>
        <v>2790</v>
      </c>
      <c r="G303" s="719">
        <f t="shared" si="342"/>
        <v>12090</v>
      </c>
      <c r="H303" s="720">
        <v>12</v>
      </c>
      <c r="I303" s="721">
        <v>8</v>
      </c>
      <c r="J303" s="722">
        <f t="shared" si="343"/>
        <v>20</v>
      </c>
      <c r="K303" s="722">
        <f t="shared" si="344"/>
        <v>2418</v>
      </c>
      <c r="L303" s="722">
        <f t="shared" si="345"/>
        <v>725.40000000000009</v>
      </c>
      <c r="M303" s="720">
        <f t="shared" si="346"/>
        <v>3143.4</v>
      </c>
      <c r="N303" s="723">
        <f t="shared" si="347"/>
        <v>45700.2</v>
      </c>
      <c r="O303" s="724">
        <f t="shared" si="348"/>
        <v>15233.4</v>
      </c>
      <c r="P303" s="743"/>
    </row>
    <row r="304" spans="1:16" ht="20" x14ac:dyDescent="0.2">
      <c r="A304" s="716" t="s">
        <v>1567</v>
      </c>
      <c r="B304" s="725" t="s">
        <v>1331</v>
      </c>
      <c r="C304" s="718">
        <v>2</v>
      </c>
      <c r="D304" s="713" t="s">
        <v>172</v>
      </c>
      <c r="E304" s="714">
        <v>9400</v>
      </c>
      <c r="F304" s="719">
        <f t="shared" si="341"/>
        <v>2820</v>
      </c>
      <c r="G304" s="719">
        <f t="shared" si="342"/>
        <v>12220</v>
      </c>
      <c r="H304" s="720">
        <v>12</v>
      </c>
      <c r="I304" s="721">
        <v>8</v>
      </c>
      <c r="J304" s="722">
        <f t="shared" si="343"/>
        <v>20</v>
      </c>
      <c r="K304" s="722">
        <f t="shared" si="344"/>
        <v>2444</v>
      </c>
      <c r="L304" s="722">
        <f t="shared" si="345"/>
        <v>733.2</v>
      </c>
      <c r="M304" s="720">
        <f t="shared" si="346"/>
        <v>3177.2</v>
      </c>
      <c r="N304" s="723">
        <f t="shared" si="347"/>
        <v>30794.400000000001</v>
      </c>
      <c r="O304" s="724">
        <f t="shared" si="348"/>
        <v>15397.2</v>
      </c>
      <c r="P304" s="743"/>
    </row>
    <row r="305" spans="1:16" ht="20" x14ac:dyDescent="0.2">
      <c r="A305" s="716" t="s">
        <v>1567</v>
      </c>
      <c r="B305" s="725" t="s">
        <v>1332</v>
      </c>
      <c r="C305" s="718">
        <v>1</v>
      </c>
      <c r="D305" s="713" t="s">
        <v>172</v>
      </c>
      <c r="E305" s="714">
        <v>6100</v>
      </c>
      <c r="F305" s="719">
        <f t="shared" si="341"/>
        <v>1830</v>
      </c>
      <c r="G305" s="719">
        <f t="shared" si="342"/>
        <v>7930</v>
      </c>
      <c r="H305" s="720">
        <v>12</v>
      </c>
      <c r="I305" s="721">
        <v>8</v>
      </c>
      <c r="J305" s="722">
        <f t="shared" si="343"/>
        <v>20</v>
      </c>
      <c r="K305" s="722">
        <f t="shared" si="344"/>
        <v>1586</v>
      </c>
      <c r="L305" s="722">
        <f t="shared" si="345"/>
        <v>475.8</v>
      </c>
      <c r="M305" s="720">
        <f t="shared" si="346"/>
        <v>2061.8000000000002</v>
      </c>
      <c r="N305" s="723">
        <f t="shared" si="347"/>
        <v>9991.7999999999993</v>
      </c>
      <c r="O305" s="724">
        <f t="shared" si="348"/>
        <v>9991.7999999999993</v>
      </c>
      <c r="P305" s="743"/>
    </row>
    <row r="306" spans="1:16" ht="20" x14ac:dyDescent="0.2">
      <c r="A306" s="716" t="s">
        <v>1566</v>
      </c>
      <c r="B306" s="725" t="s">
        <v>1343</v>
      </c>
      <c r="C306" s="718">
        <v>1</v>
      </c>
      <c r="D306" s="713" t="s">
        <v>5</v>
      </c>
      <c r="E306" s="714">
        <v>5000</v>
      </c>
      <c r="F306" s="719">
        <f t="shared" si="341"/>
        <v>1500</v>
      </c>
      <c r="G306" s="719">
        <f t="shared" si="342"/>
        <v>6500</v>
      </c>
      <c r="H306" s="720">
        <v>12</v>
      </c>
      <c r="I306" s="721">
        <v>8</v>
      </c>
      <c r="J306" s="722">
        <f t="shared" si="343"/>
        <v>20</v>
      </c>
      <c r="K306" s="722">
        <f t="shared" si="344"/>
        <v>1300</v>
      </c>
      <c r="L306" s="722">
        <f t="shared" si="345"/>
        <v>390</v>
      </c>
      <c r="M306" s="720">
        <f t="shared" si="346"/>
        <v>1690</v>
      </c>
      <c r="N306" s="723">
        <f t="shared" si="347"/>
        <v>8190</v>
      </c>
      <c r="O306" s="724">
        <f t="shared" si="348"/>
        <v>8190</v>
      </c>
      <c r="P306" s="743"/>
    </row>
    <row r="307" spans="1:16" ht="19" x14ac:dyDescent="0.25">
      <c r="A307" s="710"/>
      <c r="B307" s="726"/>
      <c r="C307" s="718"/>
      <c r="D307" s="713"/>
      <c r="E307" s="712"/>
      <c r="F307" s="712"/>
      <c r="G307" s="714"/>
      <c r="H307" s="714"/>
      <c r="I307" s="714"/>
      <c r="J307" s="714"/>
      <c r="K307" s="714"/>
      <c r="L307" s="714"/>
      <c r="M307" s="727" t="s">
        <v>343</v>
      </c>
      <c r="N307" s="728">
        <f>SUM(N299:N306)</f>
        <v>143718.12</v>
      </c>
      <c r="O307" s="712"/>
      <c r="P307" s="743">
        <f>+N307</f>
        <v>143718.12</v>
      </c>
    </row>
    <row r="308" spans="1:16" ht="20" x14ac:dyDescent="0.2">
      <c r="A308" s="710">
        <v>21.6</v>
      </c>
      <c r="B308" s="711" t="s">
        <v>1575</v>
      </c>
      <c r="C308" s="718"/>
      <c r="D308" s="713"/>
      <c r="E308" s="714"/>
      <c r="F308" s="714"/>
      <c r="G308" s="714"/>
      <c r="H308" s="714"/>
      <c r="I308" s="714"/>
      <c r="J308" s="714"/>
      <c r="K308" s="714"/>
      <c r="L308" s="714"/>
      <c r="M308" s="714"/>
      <c r="N308" s="714"/>
      <c r="O308" s="729"/>
      <c r="P308" s="743"/>
    </row>
    <row r="309" spans="1:16" ht="20" x14ac:dyDescent="0.2">
      <c r="A309" s="716" t="s">
        <v>1571</v>
      </c>
      <c r="B309" s="725" t="s">
        <v>1576</v>
      </c>
      <c r="C309" s="718">
        <v>1</v>
      </c>
      <c r="D309" s="712" t="s">
        <v>1</v>
      </c>
      <c r="E309" s="714">
        <v>1000</v>
      </c>
      <c r="F309" s="719">
        <f t="shared" ref="F309:F316" si="349">+E309*0.3</f>
        <v>300</v>
      </c>
      <c r="G309" s="719">
        <f t="shared" ref="G309:G313" si="350">E309+F309</f>
        <v>1300</v>
      </c>
      <c r="H309" s="720">
        <v>12</v>
      </c>
      <c r="I309" s="721">
        <v>8</v>
      </c>
      <c r="J309" s="722">
        <f t="shared" ref="J309:J313" si="351">H309+I309</f>
        <v>20</v>
      </c>
      <c r="K309" s="722">
        <f t="shared" ref="K309:K313" si="352">J309%*G309</f>
        <v>260</v>
      </c>
      <c r="L309" s="722">
        <f t="shared" ref="L309:L313" si="353">5%*((G309)+(K309))</f>
        <v>78</v>
      </c>
      <c r="M309" s="720">
        <f t="shared" ref="M309:M313" si="354">K309+L309</f>
        <v>338</v>
      </c>
      <c r="N309" s="723">
        <f t="shared" ref="N309:N313" si="355">ROUNDUP((+M309+G309)*C309,2)</f>
        <v>1638</v>
      </c>
      <c r="O309" s="724">
        <f t="shared" ref="O309:O313" si="356">N309/C309</f>
        <v>1638</v>
      </c>
      <c r="P309" s="743"/>
    </row>
    <row r="310" spans="1:16" ht="20" x14ac:dyDescent="0.2">
      <c r="A310" s="716" t="s">
        <v>1571</v>
      </c>
      <c r="B310" s="725" t="s">
        <v>1577</v>
      </c>
      <c r="C310" s="718">
        <v>6</v>
      </c>
      <c r="D310" s="712" t="s">
        <v>1</v>
      </c>
      <c r="E310" s="714">
        <v>500</v>
      </c>
      <c r="F310" s="719">
        <f t="shared" si="349"/>
        <v>150</v>
      </c>
      <c r="G310" s="719">
        <f t="shared" si="350"/>
        <v>650</v>
      </c>
      <c r="H310" s="720">
        <v>12</v>
      </c>
      <c r="I310" s="721">
        <v>8</v>
      </c>
      <c r="J310" s="722">
        <f t="shared" si="351"/>
        <v>20</v>
      </c>
      <c r="K310" s="722">
        <f t="shared" si="352"/>
        <v>130</v>
      </c>
      <c r="L310" s="722">
        <f t="shared" si="353"/>
        <v>39</v>
      </c>
      <c r="M310" s="720">
        <f t="shared" si="354"/>
        <v>169</v>
      </c>
      <c r="N310" s="723">
        <f t="shared" si="355"/>
        <v>4914</v>
      </c>
      <c r="O310" s="724">
        <f t="shared" si="356"/>
        <v>819</v>
      </c>
      <c r="P310" s="743"/>
    </row>
    <row r="311" spans="1:16" ht="20" x14ac:dyDescent="0.2">
      <c r="A311" s="716" t="s">
        <v>1563</v>
      </c>
      <c r="B311" s="725" t="s">
        <v>1578</v>
      </c>
      <c r="C311" s="718">
        <v>1</v>
      </c>
      <c r="D311" s="712" t="s">
        <v>1</v>
      </c>
      <c r="E311" s="714">
        <v>5000</v>
      </c>
      <c r="F311" s="719">
        <f t="shared" si="349"/>
        <v>1500</v>
      </c>
      <c r="G311" s="719">
        <f t="shared" si="350"/>
        <v>6500</v>
      </c>
      <c r="H311" s="720">
        <v>0</v>
      </c>
      <c r="I311" s="721">
        <v>8</v>
      </c>
      <c r="J311" s="722">
        <f t="shared" si="351"/>
        <v>8</v>
      </c>
      <c r="K311" s="722">
        <f t="shared" si="352"/>
        <v>520</v>
      </c>
      <c r="L311" s="722">
        <f t="shared" si="353"/>
        <v>351</v>
      </c>
      <c r="M311" s="720">
        <f t="shared" si="354"/>
        <v>871</v>
      </c>
      <c r="N311" s="723">
        <f t="shared" si="355"/>
        <v>7371</v>
      </c>
      <c r="O311" s="724">
        <f t="shared" si="356"/>
        <v>7371</v>
      </c>
      <c r="P311" s="743"/>
    </row>
    <row r="312" spans="1:16" ht="20" x14ac:dyDescent="0.2">
      <c r="A312" s="716" t="s">
        <v>1564</v>
      </c>
      <c r="B312" s="725" t="s">
        <v>1574</v>
      </c>
      <c r="C312" s="718">
        <v>20</v>
      </c>
      <c r="D312" s="712" t="s">
        <v>352</v>
      </c>
      <c r="E312" s="714">
        <v>110</v>
      </c>
      <c r="F312" s="719">
        <f t="shared" si="349"/>
        <v>33</v>
      </c>
      <c r="G312" s="719">
        <f t="shared" si="350"/>
        <v>143</v>
      </c>
      <c r="H312" s="720">
        <v>12</v>
      </c>
      <c r="I312" s="721">
        <v>8</v>
      </c>
      <c r="J312" s="722">
        <f t="shared" si="351"/>
        <v>20</v>
      </c>
      <c r="K312" s="722">
        <f t="shared" si="352"/>
        <v>28.6</v>
      </c>
      <c r="L312" s="722">
        <f t="shared" si="353"/>
        <v>8.58</v>
      </c>
      <c r="M312" s="720">
        <f t="shared" si="354"/>
        <v>37.18</v>
      </c>
      <c r="N312" s="723">
        <f t="shared" si="355"/>
        <v>3603.6</v>
      </c>
      <c r="O312" s="724">
        <f t="shared" si="356"/>
        <v>180.18</v>
      </c>
      <c r="P312" s="743"/>
    </row>
    <row r="313" spans="1:16" ht="20" x14ac:dyDescent="0.2">
      <c r="A313" s="730" t="s">
        <v>1579</v>
      </c>
      <c r="B313" s="731" t="s">
        <v>366</v>
      </c>
      <c r="C313" s="732">
        <v>180</v>
      </c>
      <c r="D313" s="733" t="s">
        <v>98</v>
      </c>
      <c r="E313" s="714">
        <v>30</v>
      </c>
      <c r="F313" s="719">
        <f t="shared" si="349"/>
        <v>9</v>
      </c>
      <c r="G313" s="735">
        <f t="shared" si="350"/>
        <v>39</v>
      </c>
      <c r="H313" s="720">
        <v>12</v>
      </c>
      <c r="I313" s="736">
        <v>8</v>
      </c>
      <c r="J313" s="737">
        <f t="shared" si="351"/>
        <v>20</v>
      </c>
      <c r="K313" s="737">
        <f t="shared" si="352"/>
        <v>7.8000000000000007</v>
      </c>
      <c r="L313" s="737">
        <f t="shared" si="353"/>
        <v>2.34</v>
      </c>
      <c r="M313" s="738">
        <f t="shared" si="354"/>
        <v>10.14</v>
      </c>
      <c r="N313" s="739">
        <f t="shared" si="355"/>
        <v>8845.2000000000007</v>
      </c>
      <c r="O313" s="740">
        <f t="shared" si="356"/>
        <v>49.14</v>
      </c>
      <c r="P313" s="744"/>
    </row>
    <row r="314" spans="1:16" ht="20" x14ac:dyDescent="0.2">
      <c r="A314" s="716" t="s">
        <v>1568</v>
      </c>
      <c r="B314" s="725" t="s">
        <v>1339</v>
      </c>
      <c r="C314" s="718">
        <v>10</v>
      </c>
      <c r="D314" s="712" t="s">
        <v>1</v>
      </c>
      <c r="E314" s="714">
        <v>50</v>
      </c>
      <c r="F314" s="719">
        <f t="shared" si="349"/>
        <v>15</v>
      </c>
      <c r="G314" s="719">
        <f>E314+F314</f>
        <v>65</v>
      </c>
      <c r="H314" s="720">
        <v>12</v>
      </c>
      <c r="I314" s="721">
        <v>8</v>
      </c>
      <c r="J314" s="722">
        <f>H314+I314</f>
        <v>20</v>
      </c>
      <c r="K314" s="722">
        <f>J314%*G314</f>
        <v>13</v>
      </c>
      <c r="L314" s="722">
        <f>5%*((G314)+(K314))</f>
        <v>3.9000000000000004</v>
      </c>
      <c r="M314" s="720">
        <f>K314+L314</f>
        <v>16.899999999999999</v>
      </c>
      <c r="N314" s="723">
        <f>ROUNDUP((+M314+G314)*C314,2)</f>
        <v>819</v>
      </c>
      <c r="O314" s="724">
        <f>N314/C314</f>
        <v>81.900000000000006</v>
      </c>
      <c r="P314" s="743"/>
    </row>
    <row r="315" spans="1:16" ht="20" x14ac:dyDescent="0.2">
      <c r="A315" s="716" t="s">
        <v>1568</v>
      </c>
      <c r="B315" s="725" t="s">
        <v>1580</v>
      </c>
      <c r="C315" s="718">
        <v>5</v>
      </c>
      <c r="D315" s="712" t="s">
        <v>1</v>
      </c>
      <c r="E315" s="714">
        <v>60</v>
      </c>
      <c r="F315" s="719">
        <f t="shared" si="349"/>
        <v>18</v>
      </c>
      <c r="G315" s="719">
        <f t="shared" ref="G315" si="357">E315+F315</f>
        <v>78</v>
      </c>
      <c r="H315" s="720">
        <v>12</v>
      </c>
      <c r="I315" s="721">
        <v>8</v>
      </c>
      <c r="J315" s="722">
        <f t="shared" ref="J315" si="358">H315+I315</f>
        <v>20</v>
      </c>
      <c r="K315" s="722">
        <f t="shared" ref="K315" si="359">J315%*G315</f>
        <v>15.600000000000001</v>
      </c>
      <c r="L315" s="722">
        <f t="shared" ref="L315" si="360">5%*((G315)+(K315))</f>
        <v>4.68</v>
      </c>
      <c r="M315" s="720">
        <f t="shared" ref="M315" si="361">K315+L315</f>
        <v>20.28</v>
      </c>
      <c r="N315" s="723">
        <f t="shared" ref="N315" si="362">ROUNDUP((+M315+G315)*C315,2)</f>
        <v>491.4</v>
      </c>
      <c r="O315" s="724">
        <f t="shared" ref="O315" si="363">N315/C315</f>
        <v>98.28</v>
      </c>
      <c r="P315" s="743"/>
    </row>
    <row r="316" spans="1:16" ht="20" x14ac:dyDescent="0.2">
      <c r="A316" s="716" t="s">
        <v>1566</v>
      </c>
      <c r="B316" s="725" t="s">
        <v>1343</v>
      </c>
      <c r="C316" s="718">
        <v>1</v>
      </c>
      <c r="D316" s="713" t="s">
        <v>5</v>
      </c>
      <c r="E316" s="714">
        <v>5000</v>
      </c>
      <c r="F316" s="719">
        <f t="shared" si="349"/>
        <v>1500</v>
      </c>
      <c r="G316" s="719">
        <f>E316+F316</f>
        <v>6500</v>
      </c>
      <c r="H316" s="720">
        <v>12</v>
      </c>
      <c r="I316" s="721">
        <v>8</v>
      </c>
      <c r="J316" s="722">
        <f>H316+I316</f>
        <v>20</v>
      </c>
      <c r="K316" s="722">
        <f>J316%*G316</f>
        <v>1300</v>
      </c>
      <c r="L316" s="722">
        <f>5%*((G316)+(K316))</f>
        <v>390</v>
      </c>
      <c r="M316" s="720">
        <f>K316+L316</f>
        <v>1690</v>
      </c>
      <c r="N316" s="723">
        <f>ROUNDUP((+M316+G316)*C316,2)</f>
        <v>8190</v>
      </c>
      <c r="O316" s="724">
        <f>N316/C316</f>
        <v>8190</v>
      </c>
      <c r="P316" s="743"/>
    </row>
    <row r="317" spans="1:16" ht="19" x14ac:dyDescent="0.25">
      <c r="A317" s="710"/>
      <c r="B317" s="726"/>
      <c r="C317" s="718"/>
      <c r="D317" s="713"/>
      <c r="E317" s="712"/>
      <c r="F317" s="712"/>
      <c r="G317" s="714"/>
      <c r="H317" s="714"/>
      <c r="I317" s="714"/>
      <c r="J317" s="714"/>
      <c r="K317" s="714"/>
      <c r="L317" s="714"/>
      <c r="M317" s="727" t="s">
        <v>343</v>
      </c>
      <c r="N317" s="728">
        <f>SUM(N309:N316)</f>
        <v>35872.199999999997</v>
      </c>
      <c r="O317" s="712"/>
      <c r="P317" s="743">
        <f>+N317</f>
        <v>35872.199999999997</v>
      </c>
    </row>
    <row r="318" spans="1:16" ht="20" x14ac:dyDescent="0.2">
      <c r="A318" s="710">
        <v>21.6</v>
      </c>
      <c r="B318" s="711" t="s">
        <v>1581</v>
      </c>
      <c r="C318" s="718"/>
      <c r="D318" s="713"/>
      <c r="E318" s="714"/>
      <c r="F318" s="714"/>
      <c r="G318" s="714"/>
      <c r="H318" s="714"/>
      <c r="I318" s="714"/>
      <c r="J318" s="714"/>
      <c r="K318" s="714"/>
      <c r="L318" s="714"/>
      <c r="M318" s="714"/>
      <c r="N318" s="714"/>
      <c r="O318" s="729"/>
      <c r="P318" s="743"/>
    </row>
    <row r="319" spans="1:16" ht="20" x14ac:dyDescent="0.2">
      <c r="A319" s="716" t="s">
        <v>1564</v>
      </c>
      <c r="B319" s="725" t="s">
        <v>1582</v>
      </c>
      <c r="C319" s="718">
        <v>6</v>
      </c>
      <c r="D319" s="712" t="s">
        <v>352</v>
      </c>
      <c r="E319" s="714">
        <v>110</v>
      </c>
      <c r="F319" s="719">
        <f t="shared" ref="F319:F323" si="364">+E319*0.3</f>
        <v>33</v>
      </c>
      <c r="G319" s="719">
        <f t="shared" ref="G319:G323" si="365">E319+F319</f>
        <v>143</v>
      </c>
      <c r="H319" s="720">
        <v>12</v>
      </c>
      <c r="I319" s="721">
        <v>8</v>
      </c>
      <c r="J319" s="722">
        <f t="shared" ref="J319:J323" si="366">H319+I319</f>
        <v>20</v>
      </c>
      <c r="K319" s="722">
        <f t="shared" ref="K319:K323" si="367">J319%*G319</f>
        <v>28.6</v>
      </c>
      <c r="L319" s="722">
        <f t="shared" ref="L319:L323" si="368">5%*((G319)+(K319))</f>
        <v>8.58</v>
      </c>
      <c r="M319" s="720">
        <f t="shared" ref="M319:M323" si="369">K319+L319</f>
        <v>37.18</v>
      </c>
      <c r="N319" s="723">
        <f t="shared" ref="N319:N323" si="370">ROUNDUP((+M319+G319)*C319,2)</f>
        <v>1081.08</v>
      </c>
      <c r="O319" s="724">
        <f t="shared" ref="O319:O323" si="371">N319/C319</f>
        <v>180.17999999999998</v>
      </c>
      <c r="P319" s="743"/>
    </row>
    <row r="320" spans="1:16" ht="19.5" customHeight="1" x14ac:dyDescent="0.2">
      <c r="A320" s="716" t="s">
        <v>1564</v>
      </c>
      <c r="B320" s="725" t="s">
        <v>1574</v>
      </c>
      <c r="C320" s="718">
        <v>15</v>
      </c>
      <c r="D320" s="712" t="s">
        <v>352</v>
      </c>
      <c r="E320" s="714">
        <v>110</v>
      </c>
      <c r="F320" s="719">
        <f t="shared" si="364"/>
        <v>33</v>
      </c>
      <c r="G320" s="719">
        <f t="shared" si="365"/>
        <v>143</v>
      </c>
      <c r="H320" s="720">
        <v>12</v>
      </c>
      <c r="I320" s="721">
        <v>8</v>
      </c>
      <c r="J320" s="722">
        <f t="shared" si="366"/>
        <v>20</v>
      </c>
      <c r="K320" s="722">
        <f t="shared" si="367"/>
        <v>28.6</v>
      </c>
      <c r="L320" s="722">
        <f t="shared" si="368"/>
        <v>8.58</v>
      </c>
      <c r="M320" s="720">
        <f t="shared" si="369"/>
        <v>37.18</v>
      </c>
      <c r="N320" s="723">
        <f t="shared" si="370"/>
        <v>2702.7</v>
      </c>
      <c r="O320" s="724">
        <f t="shared" si="371"/>
        <v>180.17999999999998</v>
      </c>
      <c r="P320" s="743"/>
    </row>
    <row r="321" spans="1:16" ht="20" x14ac:dyDescent="0.2">
      <c r="A321" s="716" t="s">
        <v>1568</v>
      </c>
      <c r="B321" s="725" t="s">
        <v>1583</v>
      </c>
      <c r="C321" s="718">
        <v>15</v>
      </c>
      <c r="D321" s="712" t="s">
        <v>1</v>
      </c>
      <c r="E321" s="714">
        <v>50</v>
      </c>
      <c r="F321" s="719">
        <f t="shared" si="364"/>
        <v>15</v>
      </c>
      <c r="G321" s="719">
        <f t="shared" si="365"/>
        <v>65</v>
      </c>
      <c r="H321" s="720">
        <v>12</v>
      </c>
      <c r="I321" s="721">
        <v>8</v>
      </c>
      <c r="J321" s="722">
        <f t="shared" si="366"/>
        <v>20</v>
      </c>
      <c r="K321" s="722">
        <f t="shared" si="367"/>
        <v>13</v>
      </c>
      <c r="L321" s="722">
        <f t="shared" si="368"/>
        <v>3.9000000000000004</v>
      </c>
      <c r="M321" s="720">
        <f t="shared" si="369"/>
        <v>16.899999999999999</v>
      </c>
      <c r="N321" s="723">
        <f t="shared" si="370"/>
        <v>1228.5</v>
      </c>
      <c r="O321" s="724">
        <f t="shared" si="371"/>
        <v>81.900000000000006</v>
      </c>
      <c r="P321" s="743"/>
    </row>
    <row r="322" spans="1:16" ht="20" x14ac:dyDescent="0.2">
      <c r="A322" s="716" t="s">
        <v>1568</v>
      </c>
      <c r="B322" s="725" t="s">
        <v>1339</v>
      </c>
      <c r="C322" s="718">
        <v>15</v>
      </c>
      <c r="D322" s="712" t="s">
        <v>1</v>
      </c>
      <c r="E322" s="714">
        <v>50</v>
      </c>
      <c r="F322" s="719">
        <f t="shared" si="364"/>
        <v>15</v>
      </c>
      <c r="G322" s="719">
        <f t="shared" si="365"/>
        <v>65</v>
      </c>
      <c r="H322" s="720">
        <v>12</v>
      </c>
      <c r="I322" s="721">
        <v>8</v>
      </c>
      <c r="J322" s="722">
        <f t="shared" si="366"/>
        <v>20</v>
      </c>
      <c r="K322" s="722">
        <f t="shared" si="367"/>
        <v>13</v>
      </c>
      <c r="L322" s="722">
        <f t="shared" si="368"/>
        <v>3.9000000000000004</v>
      </c>
      <c r="M322" s="720">
        <f t="shared" si="369"/>
        <v>16.899999999999999</v>
      </c>
      <c r="N322" s="723">
        <f t="shared" si="370"/>
        <v>1228.5</v>
      </c>
      <c r="O322" s="724">
        <f t="shared" si="371"/>
        <v>81.900000000000006</v>
      </c>
      <c r="P322" s="743"/>
    </row>
    <row r="323" spans="1:16" ht="20" x14ac:dyDescent="0.2">
      <c r="A323" s="716" t="s">
        <v>1566</v>
      </c>
      <c r="B323" s="725" t="s">
        <v>1343</v>
      </c>
      <c r="C323" s="718">
        <v>1</v>
      </c>
      <c r="D323" s="713" t="s">
        <v>5</v>
      </c>
      <c r="E323" s="714">
        <v>5000</v>
      </c>
      <c r="F323" s="719">
        <f t="shared" si="364"/>
        <v>1500</v>
      </c>
      <c r="G323" s="719">
        <f t="shared" si="365"/>
        <v>6500</v>
      </c>
      <c r="H323" s="720">
        <v>12</v>
      </c>
      <c r="I323" s="721">
        <v>8</v>
      </c>
      <c r="J323" s="722">
        <f t="shared" si="366"/>
        <v>20</v>
      </c>
      <c r="K323" s="722">
        <f t="shared" si="367"/>
        <v>1300</v>
      </c>
      <c r="L323" s="722">
        <f t="shared" si="368"/>
        <v>390</v>
      </c>
      <c r="M323" s="720">
        <f t="shared" si="369"/>
        <v>1690</v>
      </c>
      <c r="N323" s="723">
        <f t="shared" si="370"/>
        <v>8190</v>
      </c>
      <c r="O323" s="724">
        <f t="shared" si="371"/>
        <v>8190</v>
      </c>
      <c r="P323" s="743"/>
    </row>
    <row r="324" spans="1:16" ht="19" x14ac:dyDescent="0.25">
      <c r="A324" s="710"/>
      <c r="B324" s="726"/>
      <c r="C324" s="718"/>
      <c r="D324" s="713"/>
      <c r="E324" s="712"/>
      <c r="F324" s="712"/>
      <c r="G324" s="714"/>
      <c r="H324" s="714"/>
      <c r="I324" s="714"/>
      <c r="J324" s="714"/>
      <c r="K324" s="714"/>
      <c r="L324" s="714"/>
      <c r="M324" s="727" t="s">
        <v>343</v>
      </c>
      <c r="N324" s="728">
        <f>SUM(N319:N323)</f>
        <v>14430.779999999999</v>
      </c>
      <c r="O324" s="712"/>
      <c r="P324" s="743">
        <f>+N324</f>
        <v>14430.779999999999</v>
      </c>
    </row>
    <row r="325" spans="1:16" ht="20" x14ac:dyDescent="0.2">
      <c r="A325" s="710">
        <v>21.6</v>
      </c>
      <c r="B325" s="711" t="s">
        <v>1584</v>
      </c>
      <c r="C325" s="718"/>
      <c r="D325" s="713"/>
      <c r="E325" s="714"/>
      <c r="F325" s="714"/>
      <c r="G325" s="714"/>
      <c r="H325" s="714"/>
      <c r="I325" s="714"/>
      <c r="J325" s="714"/>
      <c r="K325" s="714"/>
      <c r="L325" s="714"/>
      <c r="M325" s="714"/>
      <c r="N325" s="714"/>
      <c r="O325" s="729"/>
      <c r="P325" s="743"/>
    </row>
    <row r="326" spans="1:16" ht="20" x14ac:dyDescent="0.2">
      <c r="A326" s="716" t="s">
        <v>1567</v>
      </c>
      <c r="B326" s="725" t="s">
        <v>1319</v>
      </c>
      <c r="C326" s="718">
        <v>10</v>
      </c>
      <c r="D326" s="713" t="s">
        <v>1</v>
      </c>
      <c r="E326" s="714">
        <v>5000</v>
      </c>
      <c r="F326" s="719">
        <f t="shared" ref="F326:F336" si="372">+E326*0.3</f>
        <v>1500</v>
      </c>
      <c r="G326" s="719">
        <f>E326+F326</f>
        <v>6500</v>
      </c>
      <c r="H326" s="720">
        <v>0</v>
      </c>
      <c r="I326" s="721">
        <v>8</v>
      </c>
      <c r="J326" s="722">
        <f>H326+I326</f>
        <v>8</v>
      </c>
      <c r="K326" s="722">
        <f>J326%*G326</f>
        <v>520</v>
      </c>
      <c r="L326" s="722">
        <f>5%*((G326)+(K326))</f>
        <v>351</v>
      </c>
      <c r="M326" s="720">
        <f>K326+L326</f>
        <v>871</v>
      </c>
      <c r="N326" s="723">
        <f>ROUNDUP((+M326+G326)*C326,2)</f>
        <v>73710</v>
      </c>
      <c r="O326" s="724">
        <f>N326/C326</f>
        <v>7371</v>
      </c>
      <c r="P326" s="743"/>
    </row>
    <row r="327" spans="1:16" ht="20" x14ac:dyDescent="0.2">
      <c r="A327" s="716" t="s">
        <v>1563</v>
      </c>
      <c r="B327" s="725" t="s">
        <v>1578</v>
      </c>
      <c r="C327" s="718">
        <v>2</v>
      </c>
      <c r="D327" s="712" t="s">
        <v>1</v>
      </c>
      <c r="E327" s="714">
        <v>5000</v>
      </c>
      <c r="F327" s="719">
        <f t="shared" si="372"/>
        <v>1500</v>
      </c>
      <c r="G327" s="719">
        <f>E327+F327</f>
        <v>6500</v>
      </c>
      <c r="H327" s="720">
        <v>0</v>
      </c>
      <c r="I327" s="721">
        <v>8</v>
      </c>
      <c r="J327" s="722">
        <f>H327+I327</f>
        <v>8</v>
      </c>
      <c r="K327" s="722">
        <f>J327%*G327</f>
        <v>520</v>
      </c>
      <c r="L327" s="722">
        <f>5%*((G327)+(K327))</f>
        <v>351</v>
      </c>
      <c r="M327" s="720">
        <f>K327+L327</f>
        <v>871</v>
      </c>
      <c r="N327" s="723">
        <f>ROUNDUP((+M327+G327)*C327,2)</f>
        <v>14742</v>
      </c>
      <c r="O327" s="724">
        <f>N327/C327</f>
        <v>7371</v>
      </c>
      <c r="P327" s="743"/>
    </row>
    <row r="328" spans="1:16" ht="20" x14ac:dyDescent="0.2">
      <c r="A328" s="716" t="s">
        <v>1567</v>
      </c>
      <c r="B328" s="725" t="s">
        <v>1320</v>
      </c>
      <c r="C328" s="718">
        <v>1</v>
      </c>
      <c r="D328" s="713" t="s">
        <v>1</v>
      </c>
      <c r="E328" s="714">
        <v>25000</v>
      </c>
      <c r="F328" s="719">
        <f t="shared" si="372"/>
        <v>7500</v>
      </c>
      <c r="G328" s="719">
        <f>E328+F328</f>
        <v>32500</v>
      </c>
      <c r="H328" s="720">
        <v>0</v>
      </c>
      <c r="I328" s="721">
        <v>8</v>
      </c>
      <c r="J328" s="722">
        <f>H328+I328</f>
        <v>8</v>
      </c>
      <c r="K328" s="722">
        <f>J328%*G328</f>
        <v>2600</v>
      </c>
      <c r="L328" s="722">
        <f>5%*((G328)+(K328))</f>
        <v>1755</v>
      </c>
      <c r="M328" s="720">
        <f>K328+L328</f>
        <v>4355</v>
      </c>
      <c r="N328" s="723">
        <f>ROUNDUP((+M328+G328)*C328,2)</f>
        <v>36855</v>
      </c>
      <c r="O328" s="724">
        <f>N328/C328</f>
        <v>36855</v>
      </c>
      <c r="P328" s="743"/>
    </row>
    <row r="329" spans="1:16" ht="20" x14ac:dyDescent="0.2">
      <c r="A329" s="716" t="s">
        <v>1566</v>
      </c>
      <c r="B329" s="725" t="s">
        <v>1322</v>
      </c>
      <c r="C329" s="718">
        <v>1</v>
      </c>
      <c r="D329" s="713" t="s">
        <v>1</v>
      </c>
      <c r="E329" s="714">
        <v>60000</v>
      </c>
      <c r="F329" s="719">
        <f t="shared" si="372"/>
        <v>18000</v>
      </c>
      <c r="G329" s="719">
        <f t="shared" ref="G329:G336" si="373">E329+F329</f>
        <v>78000</v>
      </c>
      <c r="H329" s="720">
        <v>0</v>
      </c>
      <c r="I329" s="721">
        <v>8</v>
      </c>
      <c r="J329" s="722">
        <f t="shared" ref="J329:J336" si="374">H329+I329</f>
        <v>8</v>
      </c>
      <c r="K329" s="722">
        <f t="shared" ref="K329:K336" si="375">J329%*G329</f>
        <v>6240</v>
      </c>
      <c r="L329" s="722">
        <f t="shared" ref="L329:L336" si="376">5%*((G329)+(K329))</f>
        <v>4212</v>
      </c>
      <c r="M329" s="720">
        <f t="shared" ref="M329:M336" si="377">K329+L329</f>
        <v>10452</v>
      </c>
      <c r="N329" s="723">
        <f t="shared" ref="N329:N336" si="378">ROUNDUP((+M329+G329)*C329,2)</f>
        <v>88452</v>
      </c>
      <c r="O329" s="724">
        <f t="shared" ref="O329:O336" si="379">N329/C329</f>
        <v>88452</v>
      </c>
      <c r="P329" s="743"/>
    </row>
    <row r="330" spans="1:16" ht="20" x14ac:dyDescent="0.2">
      <c r="A330" s="716" t="s">
        <v>1566</v>
      </c>
      <c r="B330" s="725" t="s">
        <v>1585</v>
      </c>
      <c r="C330" s="718">
        <v>1</v>
      </c>
      <c r="D330" s="713" t="s">
        <v>1</v>
      </c>
      <c r="E330" s="714">
        <v>6000</v>
      </c>
      <c r="F330" s="719">
        <f t="shared" si="372"/>
        <v>1800</v>
      </c>
      <c r="G330" s="719">
        <f t="shared" si="373"/>
        <v>7800</v>
      </c>
      <c r="H330" s="720">
        <v>12</v>
      </c>
      <c r="I330" s="721">
        <v>8</v>
      </c>
      <c r="J330" s="722">
        <f t="shared" si="374"/>
        <v>20</v>
      </c>
      <c r="K330" s="722">
        <f t="shared" si="375"/>
        <v>1560</v>
      </c>
      <c r="L330" s="722">
        <f t="shared" si="376"/>
        <v>468</v>
      </c>
      <c r="M330" s="720">
        <f t="shared" si="377"/>
        <v>2028</v>
      </c>
      <c r="N330" s="723">
        <f t="shared" si="378"/>
        <v>9828</v>
      </c>
      <c r="O330" s="724">
        <f t="shared" si="379"/>
        <v>9828</v>
      </c>
      <c r="P330" s="743"/>
    </row>
    <row r="331" spans="1:16" ht="20" x14ac:dyDescent="0.2">
      <c r="A331" s="716" t="s">
        <v>1564</v>
      </c>
      <c r="B331" s="725" t="s">
        <v>1565</v>
      </c>
      <c r="C331" s="718">
        <v>22</v>
      </c>
      <c r="D331" s="712" t="s">
        <v>352</v>
      </c>
      <c r="E331" s="714">
        <v>110</v>
      </c>
      <c r="F331" s="719">
        <f t="shared" si="372"/>
        <v>33</v>
      </c>
      <c r="G331" s="719">
        <f t="shared" si="373"/>
        <v>143</v>
      </c>
      <c r="H331" s="720">
        <v>12</v>
      </c>
      <c r="I331" s="721">
        <v>8</v>
      </c>
      <c r="J331" s="722">
        <f t="shared" si="374"/>
        <v>20</v>
      </c>
      <c r="K331" s="722">
        <f t="shared" si="375"/>
        <v>28.6</v>
      </c>
      <c r="L331" s="722">
        <f t="shared" si="376"/>
        <v>8.58</v>
      </c>
      <c r="M331" s="720">
        <f t="shared" si="377"/>
        <v>37.18</v>
      </c>
      <c r="N331" s="723">
        <f t="shared" si="378"/>
        <v>3963.96</v>
      </c>
      <c r="O331" s="724">
        <f t="shared" si="379"/>
        <v>180.18</v>
      </c>
      <c r="P331" s="743"/>
    </row>
    <row r="332" spans="1:16" ht="20" x14ac:dyDescent="0.2">
      <c r="A332" s="730" t="s">
        <v>1579</v>
      </c>
      <c r="B332" s="731" t="s">
        <v>366</v>
      </c>
      <c r="C332" s="732">
        <v>180</v>
      </c>
      <c r="D332" s="733" t="s">
        <v>98</v>
      </c>
      <c r="E332" s="714">
        <v>30</v>
      </c>
      <c r="F332" s="719">
        <f t="shared" si="372"/>
        <v>9</v>
      </c>
      <c r="G332" s="735">
        <f t="shared" si="373"/>
        <v>39</v>
      </c>
      <c r="H332" s="720">
        <v>12</v>
      </c>
      <c r="I332" s="736">
        <v>8</v>
      </c>
      <c r="J332" s="737">
        <f t="shared" si="374"/>
        <v>20</v>
      </c>
      <c r="K332" s="737">
        <f t="shared" si="375"/>
        <v>7.8000000000000007</v>
      </c>
      <c r="L332" s="737">
        <f t="shared" si="376"/>
        <v>2.34</v>
      </c>
      <c r="M332" s="738">
        <f t="shared" si="377"/>
        <v>10.14</v>
      </c>
      <c r="N332" s="739">
        <f t="shared" si="378"/>
        <v>8845.2000000000007</v>
      </c>
      <c r="O332" s="740">
        <f t="shared" si="379"/>
        <v>49.14</v>
      </c>
      <c r="P332" s="744"/>
    </row>
    <row r="333" spans="1:16" ht="20" x14ac:dyDescent="0.2">
      <c r="A333" s="716" t="s">
        <v>1568</v>
      </c>
      <c r="B333" s="725" t="s">
        <v>1339</v>
      </c>
      <c r="C333" s="718">
        <v>10</v>
      </c>
      <c r="D333" s="712" t="s">
        <v>1</v>
      </c>
      <c r="E333" s="714">
        <v>50</v>
      </c>
      <c r="F333" s="719">
        <f t="shared" si="372"/>
        <v>15</v>
      </c>
      <c r="G333" s="719">
        <f t="shared" si="373"/>
        <v>65</v>
      </c>
      <c r="H333" s="720">
        <v>12</v>
      </c>
      <c r="I333" s="721">
        <v>8</v>
      </c>
      <c r="J333" s="722">
        <f t="shared" si="374"/>
        <v>20</v>
      </c>
      <c r="K333" s="722">
        <f t="shared" si="375"/>
        <v>13</v>
      </c>
      <c r="L333" s="722">
        <f t="shared" si="376"/>
        <v>3.9000000000000004</v>
      </c>
      <c r="M333" s="720">
        <f t="shared" si="377"/>
        <v>16.899999999999999</v>
      </c>
      <c r="N333" s="723">
        <f t="shared" si="378"/>
        <v>819</v>
      </c>
      <c r="O333" s="724">
        <f t="shared" si="379"/>
        <v>81.900000000000006</v>
      </c>
      <c r="P333" s="743"/>
    </row>
    <row r="334" spans="1:16" ht="20" x14ac:dyDescent="0.2">
      <c r="A334" s="716" t="s">
        <v>1569</v>
      </c>
      <c r="B334" s="725" t="s">
        <v>1570</v>
      </c>
      <c r="C334" s="718">
        <v>10</v>
      </c>
      <c r="D334" s="712" t="s">
        <v>1</v>
      </c>
      <c r="E334" s="714">
        <v>50</v>
      </c>
      <c r="F334" s="719">
        <f t="shared" si="372"/>
        <v>15</v>
      </c>
      <c r="G334" s="719">
        <f t="shared" si="373"/>
        <v>65</v>
      </c>
      <c r="H334" s="720">
        <v>12</v>
      </c>
      <c r="I334" s="721">
        <v>8</v>
      </c>
      <c r="J334" s="722">
        <f t="shared" si="374"/>
        <v>20</v>
      </c>
      <c r="K334" s="722">
        <f t="shared" si="375"/>
        <v>13</v>
      </c>
      <c r="L334" s="722">
        <f t="shared" si="376"/>
        <v>3.9000000000000004</v>
      </c>
      <c r="M334" s="720">
        <f t="shared" si="377"/>
        <v>16.899999999999999</v>
      </c>
      <c r="N334" s="723">
        <f t="shared" si="378"/>
        <v>819</v>
      </c>
      <c r="O334" s="724">
        <f t="shared" si="379"/>
        <v>81.900000000000006</v>
      </c>
      <c r="P334" s="743"/>
    </row>
    <row r="335" spans="1:16" ht="20" x14ac:dyDescent="0.2">
      <c r="A335" s="716" t="s">
        <v>1568</v>
      </c>
      <c r="B335" s="725" t="s">
        <v>1580</v>
      </c>
      <c r="C335" s="718">
        <v>3</v>
      </c>
      <c r="D335" s="712" t="s">
        <v>1</v>
      </c>
      <c r="E335" s="714">
        <v>60</v>
      </c>
      <c r="F335" s="719">
        <f t="shared" si="372"/>
        <v>18</v>
      </c>
      <c r="G335" s="719">
        <f t="shared" si="373"/>
        <v>78</v>
      </c>
      <c r="H335" s="720">
        <v>12</v>
      </c>
      <c r="I335" s="721">
        <v>8</v>
      </c>
      <c r="J335" s="722">
        <f t="shared" si="374"/>
        <v>20</v>
      </c>
      <c r="K335" s="722">
        <f t="shared" si="375"/>
        <v>15.600000000000001</v>
      </c>
      <c r="L335" s="722">
        <f t="shared" si="376"/>
        <v>4.68</v>
      </c>
      <c r="M335" s="720">
        <f t="shared" si="377"/>
        <v>20.28</v>
      </c>
      <c r="N335" s="723">
        <f t="shared" si="378"/>
        <v>294.83999999999997</v>
      </c>
      <c r="O335" s="724">
        <f t="shared" si="379"/>
        <v>98.279999999999987</v>
      </c>
      <c r="P335" s="743"/>
    </row>
    <row r="336" spans="1:16" ht="20" x14ac:dyDescent="0.2">
      <c r="A336" s="716" t="s">
        <v>1566</v>
      </c>
      <c r="B336" s="725" t="s">
        <v>1343</v>
      </c>
      <c r="C336" s="718">
        <v>1</v>
      </c>
      <c r="D336" s="713" t="s">
        <v>5</v>
      </c>
      <c r="E336" s="714">
        <v>10000</v>
      </c>
      <c r="F336" s="719">
        <f t="shared" si="372"/>
        <v>3000</v>
      </c>
      <c r="G336" s="719">
        <f t="shared" si="373"/>
        <v>13000</v>
      </c>
      <c r="H336" s="720">
        <v>12</v>
      </c>
      <c r="I336" s="721">
        <v>8</v>
      </c>
      <c r="J336" s="722">
        <f t="shared" si="374"/>
        <v>20</v>
      </c>
      <c r="K336" s="722">
        <f t="shared" si="375"/>
        <v>2600</v>
      </c>
      <c r="L336" s="722">
        <f t="shared" si="376"/>
        <v>780</v>
      </c>
      <c r="M336" s="720">
        <f t="shared" si="377"/>
        <v>3380</v>
      </c>
      <c r="N336" s="723">
        <f t="shared" si="378"/>
        <v>16380</v>
      </c>
      <c r="O336" s="724">
        <f t="shared" si="379"/>
        <v>16380</v>
      </c>
      <c r="P336" s="743"/>
    </row>
    <row r="337" spans="1:16" ht="19" x14ac:dyDescent="0.25">
      <c r="A337" s="710"/>
      <c r="B337" s="726"/>
      <c r="C337" s="718"/>
      <c r="D337" s="713"/>
      <c r="E337" s="712"/>
      <c r="F337" s="712"/>
      <c r="G337" s="714"/>
      <c r="H337" s="714"/>
      <c r="I337" s="714"/>
      <c r="J337" s="714"/>
      <c r="K337" s="714"/>
      <c r="L337" s="714"/>
      <c r="M337" s="727" t="s">
        <v>343</v>
      </c>
      <c r="N337" s="728">
        <f>SUM(N326:N336)</f>
        <v>254709</v>
      </c>
      <c r="O337" s="712"/>
      <c r="P337" s="743">
        <f>+N337</f>
        <v>254709</v>
      </c>
    </row>
    <row r="338" spans="1:16" ht="20" x14ac:dyDescent="0.2">
      <c r="A338" s="710">
        <v>21.6</v>
      </c>
      <c r="B338" s="711" t="s">
        <v>473</v>
      </c>
      <c r="C338" s="718"/>
      <c r="D338" s="713"/>
      <c r="E338" s="714"/>
      <c r="F338" s="714"/>
      <c r="G338" s="714"/>
      <c r="H338" s="714"/>
      <c r="I338" s="714"/>
      <c r="J338" s="714"/>
      <c r="K338" s="714"/>
      <c r="L338" s="714"/>
      <c r="M338" s="714"/>
      <c r="N338" s="714"/>
      <c r="O338" s="729"/>
      <c r="P338" s="743"/>
    </row>
    <row r="339" spans="1:16" ht="20" x14ac:dyDescent="0.2">
      <c r="A339" s="716" t="s">
        <v>1567</v>
      </c>
      <c r="B339" s="725" t="s">
        <v>1313</v>
      </c>
      <c r="C339" s="718">
        <v>1</v>
      </c>
      <c r="D339" s="713" t="s">
        <v>1</v>
      </c>
      <c r="E339" s="714">
        <v>20000</v>
      </c>
      <c r="F339" s="719">
        <f t="shared" ref="F339:F347" si="380">+E339*0.3</f>
        <v>6000</v>
      </c>
      <c r="G339" s="719">
        <f>E339+F339</f>
        <v>26000</v>
      </c>
      <c r="H339" s="720">
        <v>12</v>
      </c>
      <c r="I339" s="721">
        <v>8</v>
      </c>
      <c r="J339" s="722">
        <f>H339+I339</f>
        <v>20</v>
      </c>
      <c r="K339" s="722">
        <f>J339%*G339</f>
        <v>5200</v>
      </c>
      <c r="L339" s="722">
        <f>5%*((G339)+(K339))</f>
        <v>1560</v>
      </c>
      <c r="M339" s="720">
        <f>K339+L339</f>
        <v>6760</v>
      </c>
      <c r="N339" s="723">
        <f>ROUNDUP((+M339+G339)*C339,2)</f>
        <v>32760</v>
      </c>
      <c r="O339" s="724">
        <f>N339/C339</f>
        <v>32760</v>
      </c>
      <c r="P339" s="743"/>
    </row>
    <row r="340" spans="1:16" ht="20" x14ac:dyDescent="0.2">
      <c r="A340" s="716" t="s">
        <v>1567</v>
      </c>
      <c r="B340" s="725" t="s">
        <v>1314</v>
      </c>
      <c r="C340" s="718">
        <v>18</v>
      </c>
      <c r="D340" s="713" t="s">
        <v>1</v>
      </c>
      <c r="E340" s="714">
        <v>1600</v>
      </c>
      <c r="F340" s="719">
        <f t="shared" si="380"/>
        <v>480</v>
      </c>
      <c r="G340" s="719">
        <f>E340+F340</f>
        <v>2080</v>
      </c>
      <c r="H340" s="720">
        <v>12</v>
      </c>
      <c r="I340" s="721">
        <v>8</v>
      </c>
      <c r="J340" s="722">
        <f>H340+I340</f>
        <v>20</v>
      </c>
      <c r="K340" s="722">
        <f>J340%*G340</f>
        <v>416</v>
      </c>
      <c r="L340" s="722">
        <f>5%*((G340)+(K340))</f>
        <v>124.80000000000001</v>
      </c>
      <c r="M340" s="720">
        <f>K340+L340</f>
        <v>540.79999999999995</v>
      </c>
      <c r="N340" s="723">
        <f>ROUNDUP((+M340+G340)*C340,2)</f>
        <v>47174.400000000001</v>
      </c>
      <c r="O340" s="724">
        <f>N340/C340</f>
        <v>2620.8000000000002</v>
      </c>
      <c r="P340" s="743"/>
    </row>
    <row r="341" spans="1:16" ht="20" x14ac:dyDescent="0.2">
      <c r="A341" s="716" t="s">
        <v>1566</v>
      </c>
      <c r="B341" s="725" t="s">
        <v>1315</v>
      </c>
      <c r="C341" s="718">
        <v>5</v>
      </c>
      <c r="D341" s="713" t="s">
        <v>1</v>
      </c>
      <c r="E341" s="714">
        <v>800</v>
      </c>
      <c r="F341" s="719">
        <f t="shared" si="380"/>
        <v>240</v>
      </c>
      <c r="G341" s="719">
        <f t="shared" ref="G341:G348" si="381">E341+F341</f>
        <v>1040</v>
      </c>
      <c r="H341" s="720">
        <v>12</v>
      </c>
      <c r="I341" s="721">
        <v>8</v>
      </c>
      <c r="J341" s="722">
        <f t="shared" ref="J341:J348" si="382">H341+I341</f>
        <v>20</v>
      </c>
      <c r="K341" s="722">
        <f t="shared" ref="K341:K348" si="383">J341%*G341</f>
        <v>208</v>
      </c>
      <c r="L341" s="722">
        <f t="shared" ref="L341:L348" si="384">5%*((G341)+(K341))</f>
        <v>62.400000000000006</v>
      </c>
      <c r="M341" s="720">
        <f t="shared" ref="M341:M348" si="385">K341+L341</f>
        <v>270.39999999999998</v>
      </c>
      <c r="N341" s="723">
        <f t="shared" ref="N341:N348" si="386">ROUNDUP((+M341+G341)*C341,2)</f>
        <v>6552</v>
      </c>
      <c r="O341" s="724">
        <f t="shared" ref="O341:O348" si="387">N341/C341</f>
        <v>1310.4000000000001</v>
      </c>
      <c r="P341" s="743"/>
    </row>
    <row r="342" spans="1:16" ht="20" x14ac:dyDescent="0.2">
      <c r="A342" s="716" t="s">
        <v>1566</v>
      </c>
      <c r="B342" s="725" t="s">
        <v>1316</v>
      </c>
      <c r="C342" s="718">
        <v>5</v>
      </c>
      <c r="D342" s="713" t="s">
        <v>1</v>
      </c>
      <c r="E342" s="714">
        <v>1200</v>
      </c>
      <c r="F342" s="719">
        <f t="shared" si="380"/>
        <v>360</v>
      </c>
      <c r="G342" s="719">
        <f t="shared" si="381"/>
        <v>1560</v>
      </c>
      <c r="H342" s="720">
        <v>12</v>
      </c>
      <c r="I342" s="721">
        <v>8</v>
      </c>
      <c r="J342" s="722">
        <f t="shared" si="382"/>
        <v>20</v>
      </c>
      <c r="K342" s="722">
        <f t="shared" si="383"/>
        <v>312</v>
      </c>
      <c r="L342" s="722">
        <f t="shared" si="384"/>
        <v>93.600000000000009</v>
      </c>
      <c r="M342" s="720">
        <f t="shared" si="385"/>
        <v>405.6</v>
      </c>
      <c r="N342" s="723">
        <f t="shared" si="386"/>
        <v>9828</v>
      </c>
      <c r="O342" s="724">
        <f t="shared" si="387"/>
        <v>1965.6</v>
      </c>
      <c r="P342" s="743"/>
    </row>
    <row r="343" spans="1:16" ht="20" x14ac:dyDescent="0.2">
      <c r="A343" s="716" t="s">
        <v>1566</v>
      </c>
      <c r="B343" s="725" t="s">
        <v>1317</v>
      </c>
      <c r="C343" s="718">
        <v>5</v>
      </c>
      <c r="D343" s="713" t="s">
        <v>1</v>
      </c>
      <c r="E343" s="714">
        <v>800</v>
      </c>
      <c r="F343" s="719">
        <f t="shared" si="380"/>
        <v>240</v>
      </c>
      <c r="G343" s="719">
        <f t="shared" si="381"/>
        <v>1040</v>
      </c>
      <c r="H343" s="720">
        <v>12</v>
      </c>
      <c r="I343" s="721">
        <v>8</v>
      </c>
      <c r="J343" s="722">
        <f t="shared" si="382"/>
        <v>20</v>
      </c>
      <c r="K343" s="722">
        <f t="shared" si="383"/>
        <v>208</v>
      </c>
      <c r="L343" s="722">
        <f t="shared" si="384"/>
        <v>62.400000000000006</v>
      </c>
      <c r="M343" s="720">
        <f t="shared" si="385"/>
        <v>270.39999999999998</v>
      </c>
      <c r="N343" s="723">
        <f t="shared" si="386"/>
        <v>6552</v>
      </c>
      <c r="O343" s="724">
        <f t="shared" si="387"/>
        <v>1310.4000000000001</v>
      </c>
      <c r="P343" s="743"/>
    </row>
    <row r="344" spans="1:16" ht="20" x14ac:dyDescent="0.2">
      <c r="A344" s="716" t="s">
        <v>1564</v>
      </c>
      <c r="B344" s="741" t="s">
        <v>1333</v>
      </c>
      <c r="C344" s="718">
        <v>1</v>
      </c>
      <c r="D344" s="712" t="s">
        <v>172</v>
      </c>
      <c r="E344" s="714">
        <v>5000</v>
      </c>
      <c r="F344" s="719">
        <f t="shared" si="380"/>
        <v>1500</v>
      </c>
      <c r="G344" s="719">
        <f t="shared" si="381"/>
        <v>6500</v>
      </c>
      <c r="H344" s="720">
        <v>12</v>
      </c>
      <c r="I344" s="721">
        <v>8</v>
      </c>
      <c r="J344" s="722">
        <f t="shared" si="382"/>
        <v>20</v>
      </c>
      <c r="K344" s="722">
        <f t="shared" si="383"/>
        <v>1300</v>
      </c>
      <c r="L344" s="722">
        <f t="shared" si="384"/>
        <v>390</v>
      </c>
      <c r="M344" s="720">
        <f t="shared" si="385"/>
        <v>1690</v>
      </c>
      <c r="N344" s="723">
        <f t="shared" si="386"/>
        <v>8190</v>
      </c>
      <c r="O344" s="724">
        <f t="shared" si="387"/>
        <v>8190</v>
      </c>
      <c r="P344" s="743"/>
    </row>
    <row r="345" spans="1:16" ht="20" x14ac:dyDescent="0.2">
      <c r="A345" s="716" t="s">
        <v>1564</v>
      </c>
      <c r="B345" s="741" t="s">
        <v>1565</v>
      </c>
      <c r="C345" s="718">
        <v>48</v>
      </c>
      <c r="D345" s="712" t="s">
        <v>352</v>
      </c>
      <c r="E345" s="714">
        <v>110</v>
      </c>
      <c r="F345" s="719">
        <f t="shared" si="380"/>
        <v>33</v>
      </c>
      <c r="G345" s="719">
        <f t="shared" si="381"/>
        <v>143</v>
      </c>
      <c r="H345" s="720">
        <v>12</v>
      </c>
      <c r="I345" s="721">
        <v>8</v>
      </c>
      <c r="J345" s="722">
        <f t="shared" si="382"/>
        <v>20</v>
      </c>
      <c r="K345" s="722">
        <f t="shared" si="383"/>
        <v>28.6</v>
      </c>
      <c r="L345" s="722">
        <f t="shared" si="384"/>
        <v>8.58</v>
      </c>
      <c r="M345" s="720">
        <f t="shared" si="385"/>
        <v>37.18</v>
      </c>
      <c r="N345" s="723">
        <f t="shared" si="386"/>
        <v>8648.64</v>
      </c>
      <c r="O345" s="724">
        <f t="shared" si="387"/>
        <v>180.17999999999998</v>
      </c>
      <c r="P345" s="743"/>
    </row>
    <row r="346" spans="1:16" ht="20" x14ac:dyDescent="0.2">
      <c r="A346" s="716" t="s">
        <v>1568</v>
      </c>
      <c r="B346" s="725" t="s">
        <v>1339</v>
      </c>
      <c r="C346" s="718">
        <v>5</v>
      </c>
      <c r="D346" s="712" t="s">
        <v>1</v>
      </c>
      <c r="E346" s="714">
        <v>50</v>
      </c>
      <c r="F346" s="719">
        <f t="shared" si="380"/>
        <v>15</v>
      </c>
      <c r="G346" s="719">
        <f t="shared" si="381"/>
        <v>65</v>
      </c>
      <c r="H346" s="720">
        <v>12</v>
      </c>
      <c r="I346" s="721">
        <v>8</v>
      </c>
      <c r="J346" s="722">
        <f t="shared" si="382"/>
        <v>20</v>
      </c>
      <c r="K346" s="722">
        <f t="shared" si="383"/>
        <v>13</v>
      </c>
      <c r="L346" s="722">
        <f t="shared" si="384"/>
        <v>3.9000000000000004</v>
      </c>
      <c r="M346" s="720">
        <f t="shared" si="385"/>
        <v>16.899999999999999</v>
      </c>
      <c r="N346" s="723">
        <f t="shared" si="386"/>
        <v>409.5</v>
      </c>
      <c r="O346" s="724">
        <f t="shared" si="387"/>
        <v>81.900000000000006</v>
      </c>
      <c r="P346" s="743"/>
    </row>
    <row r="347" spans="1:16" ht="20" x14ac:dyDescent="0.2">
      <c r="A347" s="716" t="s">
        <v>1569</v>
      </c>
      <c r="B347" s="725" t="s">
        <v>1570</v>
      </c>
      <c r="C347" s="718">
        <v>30</v>
      </c>
      <c r="D347" s="712" t="s">
        <v>1</v>
      </c>
      <c r="E347" s="714">
        <v>50</v>
      </c>
      <c r="F347" s="719">
        <f t="shared" si="380"/>
        <v>15</v>
      </c>
      <c r="G347" s="719">
        <f t="shared" si="381"/>
        <v>65</v>
      </c>
      <c r="H347" s="720">
        <v>12</v>
      </c>
      <c r="I347" s="721">
        <v>8</v>
      </c>
      <c r="J347" s="722">
        <f t="shared" si="382"/>
        <v>20</v>
      </c>
      <c r="K347" s="722">
        <f t="shared" si="383"/>
        <v>13</v>
      </c>
      <c r="L347" s="722">
        <f t="shared" si="384"/>
        <v>3.9000000000000004</v>
      </c>
      <c r="M347" s="720">
        <f t="shared" si="385"/>
        <v>16.899999999999999</v>
      </c>
      <c r="N347" s="723">
        <f t="shared" si="386"/>
        <v>2457</v>
      </c>
      <c r="O347" s="724">
        <f t="shared" si="387"/>
        <v>81.900000000000006</v>
      </c>
      <c r="P347" s="743"/>
    </row>
    <row r="348" spans="1:16" ht="20" x14ac:dyDescent="0.2">
      <c r="A348" s="716" t="s">
        <v>1566</v>
      </c>
      <c r="B348" s="725" t="s">
        <v>1343</v>
      </c>
      <c r="C348" s="718">
        <v>1</v>
      </c>
      <c r="D348" s="713" t="s">
        <v>5</v>
      </c>
      <c r="E348" s="714">
        <v>5000</v>
      </c>
      <c r="F348" s="719">
        <v>1000</v>
      </c>
      <c r="G348" s="719">
        <f t="shared" si="381"/>
        <v>6000</v>
      </c>
      <c r="H348" s="720">
        <v>12</v>
      </c>
      <c r="I348" s="721">
        <v>8</v>
      </c>
      <c r="J348" s="722">
        <f t="shared" si="382"/>
        <v>20</v>
      </c>
      <c r="K348" s="722">
        <f t="shared" si="383"/>
        <v>1200</v>
      </c>
      <c r="L348" s="722">
        <f t="shared" si="384"/>
        <v>360</v>
      </c>
      <c r="M348" s="720">
        <f t="shared" si="385"/>
        <v>1560</v>
      </c>
      <c r="N348" s="723">
        <f t="shared" si="386"/>
        <v>7560</v>
      </c>
      <c r="O348" s="724">
        <f t="shared" si="387"/>
        <v>7560</v>
      </c>
      <c r="P348" s="743"/>
    </row>
    <row r="349" spans="1:16" ht="19" x14ac:dyDescent="0.25">
      <c r="A349" s="710"/>
      <c r="B349" s="726"/>
      <c r="C349" s="718"/>
      <c r="D349" s="713"/>
      <c r="E349" s="712"/>
      <c r="F349" s="712"/>
      <c r="G349" s="714"/>
      <c r="H349" s="714"/>
      <c r="I349" s="714"/>
      <c r="J349" s="714"/>
      <c r="K349" s="714"/>
      <c r="L349" s="714"/>
      <c r="M349" s="727" t="s">
        <v>343</v>
      </c>
      <c r="N349" s="728">
        <f>SUM(N339:N348)</f>
        <v>130131.54</v>
      </c>
      <c r="O349" s="712"/>
      <c r="P349" s="743">
        <f>+N349</f>
        <v>130131.54</v>
      </c>
    </row>
    <row r="350" spans="1:16" ht="20" x14ac:dyDescent="0.2">
      <c r="A350" s="710">
        <v>21.4</v>
      </c>
      <c r="B350" s="711" t="s">
        <v>1586</v>
      </c>
      <c r="C350" s="718"/>
      <c r="D350" s="713"/>
      <c r="E350" s="714"/>
      <c r="F350" s="714"/>
      <c r="G350" s="714"/>
      <c r="H350" s="714"/>
      <c r="I350" s="714"/>
      <c r="J350" s="714"/>
      <c r="K350" s="714"/>
      <c r="L350" s="714"/>
      <c r="M350" s="714"/>
      <c r="N350" s="714"/>
      <c r="O350" s="729"/>
      <c r="P350" s="743"/>
    </row>
    <row r="351" spans="1:16" ht="100" x14ac:dyDescent="0.2">
      <c r="A351" s="716" t="s">
        <v>1587</v>
      </c>
      <c r="B351" s="742" t="s">
        <v>1588</v>
      </c>
      <c r="C351" s="718">
        <v>1</v>
      </c>
      <c r="D351" s="713" t="s">
        <v>1</v>
      </c>
      <c r="E351" s="714">
        <v>30000</v>
      </c>
      <c r="F351" s="719">
        <f t="shared" ref="F351:F352" si="388">+E351*0.3</f>
        <v>9000</v>
      </c>
      <c r="G351" s="719">
        <f>E351+F351</f>
        <v>39000</v>
      </c>
      <c r="H351" s="720">
        <v>12</v>
      </c>
      <c r="I351" s="721">
        <v>8</v>
      </c>
      <c r="J351" s="722">
        <f>H351+I351</f>
        <v>20</v>
      </c>
      <c r="K351" s="722">
        <f>J351%*G351</f>
        <v>7800</v>
      </c>
      <c r="L351" s="722">
        <f>5%*((G351)+(K351))</f>
        <v>2340</v>
      </c>
      <c r="M351" s="720">
        <f>K351+L351</f>
        <v>10140</v>
      </c>
      <c r="N351" s="723">
        <f>ROUNDUP((+M351+G351)*C351,2)</f>
        <v>49140</v>
      </c>
      <c r="O351" s="724">
        <f>N351/C351</f>
        <v>49140</v>
      </c>
      <c r="P351" s="743"/>
    </row>
    <row r="352" spans="1:16" ht="20" x14ac:dyDescent="0.2">
      <c r="A352" s="730" t="s">
        <v>1573</v>
      </c>
      <c r="B352" s="731" t="s">
        <v>1478</v>
      </c>
      <c r="C352" s="732">
        <v>1</v>
      </c>
      <c r="D352" s="733" t="s">
        <v>1</v>
      </c>
      <c r="E352" s="734">
        <v>2000</v>
      </c>
      <c r="F352" s="719">
        <f t="shared" si="388"/>
        <v>600</v>
      </c>
      <c r="G352" s="735">
        <f>E352+F352</f>
        <v>2600</v>
      </c>
      <c r="H352" s="720">
        <v>12</v>
      </c>
      <c r="I352" s="736">
        <v>8</v>
      </c>
      <c r="J352" s="737">
        <f>H352+I352</f>
        <v>20</v>
      </c>
      <c r="K352" s="737">
        <f>J352%*G352</f>
        <v>520</v>
      </c>
      <c r="L352" s="737">
        <f>5%*((G352)+(K352))</f>
        <v>156</v>
      </c>
      <c r="M352" s="738">
        <f>K352+L352</f>
        <v>676</v>
      </c>
      <c r="N352" s="739">
        <f>ROUNDUP((+M352+G352)*C352,2)</f>
        <v>3276</v>
      </c>
      <c r="O352" s="740">
        <f>N352/C352</f>
        <v>3276</v>
      </c>
      <c r="P352" s="744"/>
    </row>
    <row r="353" spans="1:17" ht="19" x14ac:dyDescent="0.25">
      <c r="A353" s="710"/>
      <c r="B353" s="726"/>
      <c r="C353" s="718"/>
      <c r="D353" s="713"/>
      <c r="E353" s="712"/>
      <c r="F353" s="712"/>
      <c r="G353" s="714"/>
      <c r="H353" s="714"/>
      <c r="I353" s="714"/>
      <c r="J353" s="714"/>
      <c r="K353" s="714"/>
      <c r="L353" s="714"/>
      <c r="M353" s="727" t="s">
        <v>343</v>
      </c>
      <c r="N353" s="728">
        <f>SUM(N351:N352)</f>
        <v>52416</v>
      </c>
      <c r="O353" s="712"/>
      <c r="P353" s="743">
        <f>+N353</f>
        <v>52416</v>
      </c>
    </row>
    <row r="354" spans="1:17" ht="40.5" customHeight="1" x14ac:dyDescent="0.2">
      <c r="A354" s="710">
        <v>21.4</v>
      </c>
      <c r="B354" s="711" t="s">
        <v>1589</v>
      </c>
      <c r="C354" s="718"/>
      <c r="D354" s="713"/>
      <c r="E354" s="714"/>
      <c r="F354" s="714"/>
      <c r="G354" s="714"/>
      <c r="H354" s="714"/>
      <c r="I354" s="714"/>
      <c r="J354" s="714"/>
      <c r="K354" s="714"/>
      <c r="L354" s="714"/>
      <c r="M354" s="714"/>
      <c r="N354" s="714"/>
      <c r="O354" s="729"/>
      <c r="P354" s="743"/>
    </row>
    <row r="355" spans="1:17" ht="20" x14ac:dyDescent="0.2">
      <c r="A355" s="716" t="s">
        <v>1567</v>
      </c>
      <c r="B355" s="725" t="s">
        <v>1328</v>
      </c>
      <c r="C355" s="718">
        <v>80</v>
      </c>
      <c r="D355" s="713" t="s">
        <v>98</v>
      </c>
      <c r="E355" s="714">
        <v>710</v>
      </c>
      <c r="F355" s="719">
        <f t="shared" ref="F355:F368" si="389">+E355*0.3</f>
        <v>213</v>
      </c>
      <c r="G355" s="719">
        <f t="shared" ref="G355:G368" si="390">E355+F355</f>
        <v>923</v>
      </c>
      <c r="H355" s="720">
        <v>12</v>
      </c>
      <c r="I355" s="721">
        <v>8</v>
      </c>
      <c r="J355" s="722">
        <f t="shared" ref="J355:J368" si="391">H355+I355</f>
        <v>20</v>
      </c>
      <c r="K355" s="722">
        <f t="shared" ref="K355:K368" si="392">J355%*G355</f>
        <v>184.60000000000002</v>
      </c>
      <c r="L355" s="722">
        <f t="shared" ref="L355:L368" si="393">5%*((G355)+(K355))</f>
        <v>55.379999999999995</v>
      </c>
      <c r="M355" s="720">
        <f t="shared" ref="M355:M368" si="394">K355+L355</f>
        <v>239.98000000000002</v>
      </c>
      <c r="N355" s="723">
        <f t="shared" ref="N355:N368" si="395">ROUNDUP((+M355+G355)*C355,2)</f>
        <v>93038.399999999994</v>
      </c>
      <c r="O355" s="724">
        <f t="shared" ref="O355:O368" si="396">N355/C355</f>
        <v>1162.98</v>
      </c>
      <c r="P355" s="743"/>
    </row>
    <row r="356" spans="1:17" ht="20" x14ac:dyDescent="0.2">
      <c r="A356" s="716" t="s">
        <v>1567</v>
      </c>
      <c r="B356" s="725" t="s">
        <v>1329</v>
      </c>
      <c r="C356" s="718">
        <v>5</v>
      </c>
      <c r="D356" s="713" t="s">
        <v>98</v>
      </c>
      <c r="E356" s="714">
        <v>250</v>
      </c>
      <c r="F356" s="719">
        <f t="shared" si="389"/>
        <v>75</v>
      </c>
      <c r="G356" s="719">
        <f t="shared" si="390"/>
        <v>325</v>
      </c>
      <c r="H356" s="720">
        <v>12</v>
      </c>
      <c r="I356" s="721">
        <v>8</v>
      </c>
      <c r="J356" s="722">
        <f t="shared" si="391"/>
        <v>20</v>
      </c>
      <c r="K356" s="722">
        <f t="shared" si="392"/>
        <v>65</v>
      </c>
      <c r="L356" s="722">
        <f t="shared" si="393"/>
        <v>19.5</v>
      </c>
      <c r="M356" s="720">
        <f t="shared" si="394"/>
        <v>84.5</v>
      </c>
      <c r="N356" s="723">
        <f t="shared" si="395"/>
        <v>2047.5</v>
      </c>
      <c r="O356" s="724">
        <f t="shared" si="396"/>
        <v>409.5</v>
      </c>
      <c r="P356" s="743"/>
    </row>
    <row r="357" spans="1:17" ht="20" x14ac:dyDescent="0.2">
      <c r="A357" s="716" t="s">
        <v>1564</v>
      </c>
      <c r="B357" s="725" t="s">
        <v>1590</v>
      </c>
      <c r="C357" s="718">
        <v>1</v>
      </c>
      <c r="D357" s="712" t="s">
        <v>352</v>
      </c>
      <c r="E357" s="714">
        <v>2650</v>
      </c>
      <c r="F357" s="719">
        <f t="shared" si="389"/>
        <v>795</v>
      </c>
      <c r="G357" s="719">
        <f t="shared" si="390"/>
        <v>3445</v>
      </c>
      <c r="H357" s="720">
        <v>12</v>
      </c>
      <c r="I357" s="721">
        <v>8</v>
      </c>
      <c r="J357" s="722">
        <f t="shared" si="391"/>
        <v>20</v>
      </c>
      <c r="K357" s="722">
        <f t="shared" si="392"/>
        <v>689</v>
      </c>
      <c r="L357" s="722">
        <f t="shared" si="393"/>
        <v>206.70000000000002</v>
      </c>
      <c r="M357" s="720">
        <f t="shared" si="394"/>
        <v>895.7</v>
      </c>
      <c r="N357" s="723">
        <f t="shared" si="395"/>
        <v>4340.7</v>
      </c>
      <c r="O357" s="724">
        <f t="shared" si="396"/>
        <v>4340.7</v>
      </c>
      <c r="P357" s="743"/>
    </row>
    <row r="358" spans="1:17" ht="20" x14ac:dyDescent="0.2">
      <c r="A358" s="716" t="s">
        <v>1564</v>
      </c>
      <c r="B358" s="725" t="s">
        <v>1591</v>
      </c>
      <c r="C358" s="718">
        <v>12</v>
      </c>
      <c r="D358" s="712" t="s">
        <v>352</v>
      </c>
      <c r="E358" s="714">
        <v>440</v>
      </c>
      <c r="F358" s="719">
        <v>134.66650000000001</v>
      </c>
      <c r="G358" s="719">
        <f t="shared" si="390"/>
        <v>574.66650000000004</v>
      </c>
      <c r="H358" s="720">
        <v>12</v>
      </c>
      <c r="I358" s="721">
        <v>8</v>
      </c>
      <c r="J358" s="722">
        <f t="shared" si="391"/>
        <v>20</v>
      </c>
      <c r="K358" s="722">
        <f t="shared" si="392"/>
        <v>114.93330000000002</v>
      </c>
      <c r="L358" s="722">
        <f t="shared" si="393"/>
        <v>34.479990000000008</v>
      </c>
      <c r="M358" s="720">
        <f t="shared" si="394"/>
        <v>149.41329000000002</v>
      </c>
      <c r="N358" s="723">
        <f t="shared" si="395"/>
        <v>8688.9600000000009</v>
      </c>
      <c r="O358" s="724">
        <f t="shared" si="396"/>
        <v>724.08</v>
      </c>
      <c r="P358" s="743"/>
    </row>
    <row r="359" spans="1:17" ht="20" x14ac:dyDescent="0.2">
      <c r="A359" s="716" t="s">
        <v>1564</v>
      </c>
      <c r="B359" s="725" t="s">
        <v>1582</v>
      </c>
      <c r="C359" s="718">
        <v>12</v>
      </c>
      <c r="D359" s="712" t="s">
        <v>352</v>
      </c>
      <c r="E359" s="714">
        <v>170</v>
      </c>
      <c r="F359" s="719">
        <f t="shared" si="389"/>
        <v>51</v>
      </c>
      <c r="G359" s="719">
        <f t="shared" si="390"/>
        <v>221</v>
      </c>
      <c r="H359" s="720">
        <v>12</v>
      </c>
      <c r="I359" s="721">
        <v>8</v>
      </c>
      <c r="J359" s="722">
        <f t="shared" si="391"/>
        <v>20</v>
      </c>
      <c r="K359" s="722">
        <f t="shared" si="392"/>
        <v>44.2</v>
      </c>
      <c r="L359" s="722">
        <f t="shared" si="393"/>
        <v>13.26</v>
      </c>
      <c r="M359" s="720">
        <f t="shared" si="394"/>
        <v>57.46</v>
      </c>
      <c r="N359" s="723">
        <f t="shared" si="395"/>
        <v>3341.52</v>
      </c>
      <c r="O359" s="724">
        <f t="shared" si="396"/>
        <v>278.45999999999998</v>
      </c>
      <c r="P359" s="743"/>
    </row>
    <row r="360" spans="1:17" ht="20" x14ac:dyDescent="0.2">
      <c r="A360" s="716" t="s">
        <v>1568</v>
      </c>
      <c r="B360" s="725" t="s">
        <v>1335</v>
      </c>
      <c r="C360" s="718">
        <v>1</v>
      </c>
      <c r="D360" s="712" t="s">
        <v>5</v>
      </c>
      <c r="E360" s="714">
        <v>25000</v>
      </c>
      <c r="F360" s="719">
        <f t="shared" si="389"/>
        <v>7500</v>
      </c>
      <c r="G360" s="719">
        <f t="shared" si="390"/>
        <v>32500</v>
      </c>
      <c r="H360" s="720">
        <v>12</v>
      </c>
      <c r="I360" s="721">
        <v>8</v>
      </c>
      <c r="J360" s="722">
        <f t="shared" si="391"/>
        <v>20</v>
      </c>
      <c r="K360" s="722">
        <f t="shared" si="392"/>
        <v>6500</v>
      </c>
      <c r="L360" s="722">
        <f t="shared" si="393"/>
        <v>1950</v>
      </c>
      <c r="M360" s="720">
        <f t="shared" si="394"/>
        <v>8450</v>
      </c>
      <c r="N360" s="723">
        <f t="shared" si="395"/>
        <v>40950</v>
      </c>
      <c r="O360" s="724">
        <f t="shared" si="396"/>
        <v>40950</v>
      </c>
      <c r="P360" s="743"/>
    </row>
    <row r="361" spans="1:17" ht="20" x14ac:dyDescent="0.2">
      <c r="A361" s="716" t="s">
        <v>1568</v>
      </c>
      <c r="B361" s="725" t="s">
        <v>1336</v>
      </c>
      <c r="C361" s="718">
        <v>1</v>
      </c>
      <c r="D361" s="712" t="s">
        <v>5</v>
      </c>
      <c r="E361" s="714">
        <v>15000</v>
      </c>
      <c r="F361" s="719">
        <f t="shared" si="389"/>
        <v>4500</v>
      </c>
      <c r="G361" s="719">
        <f t="shared" si="390"/>
        <v>19500</v>
      </c>
      <c r="H361" s="720">
        <v>12</v>
      </c>
      <c r="I361" s="721">
        <v>8</v>
      </c>
      <c r="J361" s="722">
        <f t="shared" si="391"/>
        <v>20</v>
      </c>
      <c r="K361" s="722">
        <f t="shared" si="392"/>
        <v>3900</v>
      </c>
      <c r="L361" s="722">
        <f t="shared" si="393"/>
        <v>1170</v>
      </c>
      <c r="M361" s="720">
        <f t="shared" si="394"/>
        <v>5070</v>
      </c>
      <c r="N361" s="723">
        <f t="shared" si="395"/>
        <v>24570</v>
      </c>
      <c r="O361" s="724">
        <f t="shared" si="396"/>
        <v>24570</v>
      </c>
      <c r="P361" s="743"/>
      <c r="Q361" s="393" t="s">
        <v>51</v>
      </c>
    </row>
    <row r="362" spans="1:17" ht="37.5" customHeight="1" x14ac:dyDescent="0.2">
      <c r="A362" s="716" t="s">
        <v>1568</v>
      </c>
      <c r="B362" s="725" t="s">
        <v>1337</v>
      </c>
      <c r="C362" s="718">
        <v>1</v>
      </c>
      <c r="D362" s="712" t="s">
        <v>5</v>
      </c>
      <c r="E362" s="714">
        <v>5000</v>
      </c>
      <c r="F362" s="719">
        <f t="shared" si="389"/>
        <v>1500</v>
      </c>
      <c r="G362" s="719">
        <f t="shared" si="390"/>
        <v>6500</v>
      </c>
      <c r="H362" s="720">
        <v>12</v>
      </c>
      <c r="I362" s="721">
        <v>8</v>
      </c>
      <c r="J362" s="722">
        <f t="shared" si="391"/>
        <v>20</v>
      </c>
      <c r="K362" s="722">
        <f t="shared" si="392"/>
        <v>1300</v>
      </c>
      <c r="L362" s="722">
        <f t="shared" si="393"/>
        <v>390</v>
      </c>
      <c r="M362" s="720">
        <f t="shared" si="394"/>
        <v>1690</v>
      </c>
      <c r="N362" s="723">
        <f t="shared" si="395"/>
        <v>8190</v>
      </c>
      <c r="O362" s="724">
        <f t="shared" si="396"/>
        <v>8190</v>
      </c>
      <c r="P362" s="743"/>
    </row>
    <row r="363" spans="1:17" ht="20" x14ac:dyDescent="0.2">
      <c r="A363" s="716" t="s">
        <v>1564</v>
      </c>
      <c r="B363" s="725" t="s">
        <v>1592</v>
      </c>
      <c r="C363" s="718">
        <v>1</v>
      </c>
      <c r="D363" s="712" t="s">
        <v>352</v>
      </c>
      <c r="E363" s="714">
        <v>500</v>
      </c>
      <c r="F363" s="719">
        <f t="shared" si="389"/>
        <v>150</v>
      </c>
      <c r="G363" s="719">
        <f t="shared" si="390"/>
        <v>650</v>
      </c>
      <c r="H363" s="720">
        <v>12</v>
      </c>
      <c r="I363" s="721">
        <v>8</v>
      </c>
      <c r="J363" s="722">
        <f t="shared" si="391"/>
        <v>20</v>
      </c>
      <c r="K363" s="722">
        <f t="shared" si="392"/>
        <v>130</v>
      </c>
      <c r="L363" s="722">
        <f t="shared" si="393"/>
        <v>39</v>
      </c>
      <c r="M363" s="720">
        <f t="shared" si="394"/>
        <v>169</v>
      </c>
      <c r="N363" s="723">
        <f t="shared" si="395"/>
        <v>819</v>
      </c>
      <c r="O363" s="724">
        <f t="shared" si="396"/>
        <v>819</v>
      </c>
      <c r="P363" s="743"/>
    </row>
    <row r="364" spans="1:17" ht="20" x14ac:dyDescent="0.2">
      <c r="A364" s="716" t="s">
        <v>1564</v>
      </c>
      <c r="B364" s="725" t="s">
        <v>1593</v>
      </c>
      <c r="C364" s="718">
        <v>1</v>
      </c>
      <c r="D364" s="712" t="s">
        <v>352</v>
      </c>
      <c r="E364" s="714">
        <v>300</v>
      </c>
      <c r="F364" s="719">
        <f t="shared" si="389"/>
        <v>90</v>
      </c>
      <c r="G364" s="719">
        <f t="shared" si="390"/>
        <v>390</v>
      </c>
      <c r="H364" s="720">
        <v>12</v>
      </c>
      <c r="I364" s="721">
        <v>8</v>
      </c>
      <c r="J364" s="722">
        <f t="shared" si="391"/>
        <v>20</v>
      </c>
      <c r="K364" s="722">
        <f t="shared" si="392"/>
        <v>78</v>
      </c>
      <c r="L364" s="722">
        <f t="shared" si="393"/>
        <v>23.400000000000002</v>
      </c>
      <c r="M364" s="720">
        <f t="shared" si="394"/>
        <v>101.4</v>
      </c>
      <c r="N364" s="723">
        <f t="shared" si="395"/>
        <v>491.4</v>
      </c>
      <c r="O364" s="724">
        <f t="shared" si="396"/>
        <v>491.4</v>
      </c>
      <c r="P364" s="743"/>
    </row>
    <row r="365" spans="1:17" ht="20" x14ac:dyDescent="0.2">
      <c r="A365" s="716" t="s">
        <v>1568</v>
      </c>
      <c r="B365" s="725" t="s">
        <v>1338</v>
      </c>
      <c r="C365" s="718">
        <v>1</v>
      </c>
      <c r="D365" s="712" t="s">
        <v>1</v>
      </c>
      <c r="E365" s="714">
        <v>800</v>
      </c>
      <c r="F365" s="719">
        <f t="shared" si="389"/>
        <v>240</v>
      </c>
      <c r="G365" s="719">
        <f t="shared" si="390"/>
        <v>1040</v>
      </c>
      <c r="H365" s="720">
        <v>12</v>
      </c>
      <c r="I365" s="721">
        <v>8</v>
      </c>
      <c r="J365" s="722">
        <f t="shared" si="391"/>
        <v>20</v>
      </c>
      <c r="K365" s="722">
        <f t="shared" si="392"/>
        <v>208</v>
      </c>
      <c r="L365" s="722">
        <f t="shared" si="393"/>
        <v>62.400000000000006</v>
      </c>
      <c r="M365" s="720">
        <f t="shared" si="394"/>
        <v>270.39999999999998</v>
      </c>
      <c r="N365" s="723">
        <f t="shared" si="395"/>
        <v>1310.4000000000001</v>
      </c>
      <c r="O365" s="724">
        <f t="shared" si="396"/>
        <v>1310.4000000000001</v>
      </c>
      <c r="P365" s="743"/>
    </row>
    <row r="366" spans="1:17" ht="20" x14ac:dyDescent="0.2">
      <c r="A366" s="716" t="s">
        <v>1566</v>
      </c>
      <c r="B366" s="725" t="s">
        <v>1341</v>
      </c>
      <c r="C366" s="718">
        <v>1</v>
      </c>
      <c r="D366" s="713" t="s">
        <v>1</v>
      </c>
      <c r="E366" s="714">
        <v>3000</v>
      </c>
      <c r="F366" s="719">
        <f t="shared" si="389"/>
        <v>900</v>
      </c>
      <c r="G366" s="719">
        <f t="shared" si="390"/>
        <v>3900</v>
      </c>
      <c r="H366" s="720">
        <v>12</v>
      </c>
      <c r="I366" s="721">
        <v>8</v>
      </c>
      <c r="J366" s="722">
        <f t="shared" si="391"/>
        <v>20</v>
      </c>
      <c r="K366" s="722">
        <f t="shared" si="392"/>
        <v>780</v>
      </c>
      <c r="L366" s="722">
        <f t="shared" si="393"/>
        <v>234</v>
      </c>
      <c r="M366" s="720">
        <f t="shared" si="394"/>
        <v>1014</v>
      </c>
      <c r="N366" s="723">
        <f t="shared" si="395"/>
        <v>4914</v>
      </c>
      <c r="O366" s="724">
        <f t="shared" si="396"/>
        <v>4914</v>
      </c>
      <c r="P366" s="743"/>
    </row>
    <row r="367" spans="1:17" ht="20" x14ac:dyDescent="0.2">
      <c r="A367" s="716" t="s">
        <v>1568</v>
      </c>
      <c r="B367" s="725" t="s">
        <v>1580</v>
      </c>
      <c r="C367" s="718">
        <v>2</v>
      </c>
      <c r="D367" s="712" t="s">
        <v>1</v>
      </c>
      <c r="E367" s="714">
        <v>60</v>
      </c>
      <c r="F367" s="719">
        <f t="shared" si="389"/>
        <v>18</v>
      </c>
      <c r="G367" s="719">
        <f t="shared" si="390"/>
        <v>78</v>
      </c>
      <c r="H367" s="720">
        <v>12</v>
      </c>
      <c r="I367" s="721">
        <v>8</v>
      </c>
      <c r="J367" s="722">
        <f t="shared" si="391"/>
        <v>20</v>
      </c>
      <c r="K367" s="722">
        <f t="shared" si="392"/>
        <v>15.600000000000001</v>
      </c>
      <c r="L367" s="722">
        <f t="shared" si="393"/>
        <v>4.68</v>
      </c>
      <c r="M367" s="720">
        <f t="shared" si="394"/>
        <v>20.28</v>
      </c>
      <c r="N367" s="723">
        <f t="shared" si="395"/>
        <v>196.56</v>
      </c>
      <c r="O367" s="724">
        <f t="shared" si="396"/>
        <v>98.28</v>
      </c>
      <c r="P367" s="743"/>
    </row>
    <row r="368" spans="1:17" ht="20" x14ac:dyDescent="0.2">
      <c r="A368" s="716" t="s">
        <v>1566</v>
      </c>
      <c r="B368" s="725" t="s">
        <v>1343</v>
      </c>
      <c r="C368" s="718">
        <v>1</v>
      </c>
      <c r="D368" s="713" t="s">
        <v>5</v>
      </c>
      <c r="E368" s="714">
        <v>5000</v>
      </c>
      <c r="F368" s="719">
        <f t="shared" si="389"/>
        <v>1500</v>
      </c>
      <c r="G368" s="719">
        <f t="shared" si="390"/>
        <v>6500</v>
      </c>
      <c r="H368" s="720">
        <v>12</v>
      </c>
      <c r="I368" s="721">
        <v>8</v>
      </c>
      <c r="J368" s="722">
        <f t="shared" si="391"/>
        <v>20</v>
      </c>
      <c r="K368" s="722">
        <f t="shared" si="392"/>
        <v>1300</v>
      </c>
      <c r="L368" s="722">
        <f t="shared" si="393"/>
        <v>390</v>
      </c>
      <c r="M368" s="720">
        <f t="shared" si="394"/>
        <v>1690</v>
      </c>
      <c r="N368" s="723">
        <f t="shared" si="395"/>
        <v>8190</v>
      </c>
      <c r="O368" s="724">
        <f t="shared" si="396"/>
        <v>8190</v>
      </c>
      <c r="P368" s="743"/>
    </row>
    <row r="369" spans="1:16" ht="19" x14ac:dyDescent="0.25">
      <c r="A369" s="710"/>
      <c r="B369" s="726"/>
      <c r="C369" s="718"/>
      <c r="D369" s="713"/>
      <c r="E369" s="712"/>
      <c r="F369" s="712"/>
      <c r="G369" s="714"/>
      <c r="H369" s="714"/>
      <c r="I369" s="714"/>
      <c r="J369" s="714"/>
      <c r="K369" s="714"/>
      <c r="L369" s="714"/>
      <c r="M369" s="727" t="s">
        <v>343</v>
      </c>
      <c r="N369" s="728">
        <f>SUM(N355:N368)</f>
        <v>201088.44</v>
      </c>
      <c r="O369" s="712"/>
      <c r="P369" s="743">
        <f>+N369</f>
        <v>201088.44</v>
      </c>
    </row>
    <row r="370" spans="1:16" ht="20" x14ac:dyDescent="0.2">
      <c r="A370" s="710">
        <v>21.5</v>
      </c>
      <c r="B370" s="711" t="s">
        <v>1594</v>
      </c>
      <c r="C370" s="718"/>
      <c r="D370" s="712"/>
      <c r="E370" s="714"/>
      <c r="F370" s="714"/>
      <c r="G370" s="714"/>
      <c r="H370" s="715"/>
      <c r="I370" s="714"/>
      <c r="J370" s="714"/>
      <c r="K370" s="714"/>
      <c r="L370" s="714"/>
      <c r="M370" s="715"/>
      <c r="N370" s="715"/>
      <c r="O370" s="714"/>
      <c r="P370" s="743"/>
    </row>
    <row r="371" spans="1:16" ht="20" x14ac:dyDescent="0.2">
      <c r="A371" s="716" t="s">
        <v>1566</v>
      </c>
      <c r="B371" s="725" t="s">
        <v>1342</v>
      </c>
      <c r="C371" s="718">
        <v>5</v>
      </c>
      <c r="D371" s="713" t="s">
        <v>1</v>
      </c>
      <c r="E371" s="714">
        <v>2000</v>
      </c>
      <c r="F371" s="719">
        <f t="shared" ref="F371" si="397">+E371*0.3</f>
        <v>600</v>
      </c>
      <c r="G371" s="719">
        <f t="shared" ref="G371" si="398">E371+F371</f>
        <v>2600</v>
      </c>
      <c r="H371" s="720">
        <v>12</v>
      </c>
      <c r="I371" s="721">
        <v>8</v>
      </c>
      <c r="J371" s="722">
        <f t="shared" ref="J371" si="399">H371+I371</f>
        <v>20</v>
      </c>
      <c r="K371" s="722">
        <f t="shared" ref="K371" si="400">J371%*G371</f>
        <v>520</v>
      </c>
      <c r="L371" s="722">
        <f t="shared" ref="L371" si="401">5%*((G371)+(K371))</f>
        <v>156</v>
      </c>
      <c r="M371" s="720">
        <f t="shared" ref="M371" si="402">K371+L371</f>
        <v>676</v>
      </c>
      <c r="N371" s="723">
        <f t="shared" ref="N371" si="403">ROUNDUP((+M371+G371)*C371,2)</f>
        <v>16380</v>
      </c>
      <c r="O371" s="724">
        <f t="shared" ref="O371" si="404">N371/C371</f>
        <v>3276</v>
      </c>
      <c r="P371" s="743"/>
    </row>
    <row r="372" spans="1:16" ht="19" x14ac:dyDescent="0.25">
      <c r="A372" s="710"/>
      <c r="B372" s="726"/>
      <c r="C372" s="712"/>
      <c r="D372" s="713"/>
      <c r="E372" s="712"/>
      <c r="F372" s="712"/>
      <c r="G372" s="714"/>
      <c r="H372" s="714"/>
      <c r="I372" s="714"/>
      <c r="J372" s="714"/>
      <c r="K372" s="714"/>
      <c r="L372" s="714"/>
      <c r="M372" s="727" t="s">
        <v>343</v>
      </c>
      <c r="N372" s="728">
        <f>SUM(N371:N371)</f>
        <v>16380</v>
      </c>
      <c r="O372" s="712"/>
      <c r="P372" s="743">
        <f>+N372</f>
        <v>16380</v>
      </c>
    </row>
    <row r="373" spans="1:16" ht="21" x14ac:dyDescent="0.25">
      <c r="A373" s="656">
        <v>9</v>
      </c>
      <c r="B373" s="657" t="s">
        <v>392</v>
      </c>
      <c r="C373" s="658"/>
      <c r="D373" s="659"/>
      <c r="E373" s="660"/>
      <c r="F373" s="661"/>
      <c r="G373" s="537"/>
      <c r="H373" s="537"/>
      <c r="I373" s="537"/>
      <c r="J373" s="537"/>
      <c r="K373" s="537"/>
      <c r="L373" s="537"/>
      <c r="M373" s="537"/>
      <c r="N373" s="560"/>
      <c r="O373" s="661"/>
    </row>
    <row r="374" spans="1:16" ht="21" x14ac:dyDescent="0.25">
      <c r="A374" s="591">
        <f>+A373+0.1</f>
        <v>9.1</v>
      </c>
      <c r="B374" s="662" t="s">
        <v>244</v>
      </c>
      <c r="C374" s="663"/>
      <c r="D374" s="575"/>
      <c r="E374" s="575"/>
      <c r="F374" s="524"/>
      <c r="G374" s="597"/>
      <c r="H374" s="597"/>
      <c r="I374" s="597"/>
      <c r="J374" s="597"/>
      <c r="K374" s="597"/>
      <c r="L374" s="597"/>
      <c r="M374" s="597"/>
      <c r="N374" s="664"/>
      <c r="O374" s="524"/>
    </row>
    <row r="375" spans="1:16" ht="22" x14ac:dyDescent="0.25">
      <c r="A375" s="570" t="s">
        <v>686</v>
      </c>
      <c r="B375" s="665" t="s">
        <v>1519</v>
      </c>
      <c r="C375" s="666">
        <v>36</v>
      </c>
      <c r="D375" s="617" t="s">
        <v>98</v>
      </c>
      <c r="E375" s="575">
        <v>200</v>
      </c>
      <c r="F375" s="524">
        <f>E375*0.3</f>
        <v>60</v>
      </c>
      <c r="G375" s="545">
        <f t="shared" ref="G375:G381" si="405">E375+F375</f>
        <v>260</v>
      </c>
      <c r="H375" s="563">
        <v>12</v>
      </c>
      <c r="I375" s="546">
        <v>8</v>
      </c>
      <c r="J375" s="545">
        <f t="shared" ref="J375:J381" si="406">H375+I375</f>
        <v>20</v>
      </c>
      <c r="K375" s="545">
        <f t="shared" ref="K375:K381" si="407">J375%*G375</f>
        <v>52</v>
      </c>
      <c r="L375" s="545">
        <f t="shared" ref="L375:L381" si="408">5%*((G375)+(K375))</f>
        <v>15.600000000000001</v>
      </c>
      <c r="M375" s="545">
        <f t="shared" ref="M375:M381" si="409">K375+L375</f>
        <v>67.599999999999994</v>
      </c>
      <c r="N375" s="547">
        <f t="shared" ref="N375:N381" si="410">(+M375+G375)*C375</f>
        <v>11793.6</v>
      </c>
      <c r="O375" s="545">
        <f t="shared" ref="O375:O381" si="411">N375/C375</f>
        <v>327.60000000000002</v>
      </c>
    </row>
    <row r="376" spans="1:16" ht="22" x14ac:dyDescent="0.25">
      <c r="A376" s="570" t="s">
        <v>687</v>
      </c>
      <c r="B376" s="665" t="s">
        <v>1520</v>
      </c>
      <c r="C376" s="666">
        <v>45</v>
      </c>
      <c r="D376" s="617" t="s">
        <v>98</v>
      </c>
      <c r="E376" s="575">
        <v>120</v>
      </c>
      <c r="F376" s="524">
        <f t="shared" ref="F376:F386" si="412">E376*0.3</f>
        <v>36</v>
      </c>
      <c r="G376" s="545">
        <f t="shared" si="405"/>
        <v>156</v>
      </c>
      <c r="H376" s="563">
        <v>12</v>
      </c>
      <c r="I376" s="546">
        <v>8</v>
      </c>
      <c r="J376" s="545">
        <f t="shared" si="406"/>
        <v>20</v>
      </c>
      <c r="K376" s="545">
        <f t="shared" si="407"/>
        <v>31.200000000000003</v>
      </c>
      <c r="L376" s="545">
        <f t="shared" si="408"/>
        <v>9.36</v>
      </c>
      <c r="M376" s="545">
        <f t="shared" si="409"/>
        <v>40.56</v>
      </c>
      <c r="N376" s="547">
        <f t="shared" si="410"/>
        <v>8845.2000000000007</v>
      </c>
      <c r="O376" s="545">
        <f t="shared" si="411"/>
        <v>196.56</v>
      </c>
    </row>
    <row r="377" spans="1:16" ht="22" x14ac:dyDescent="0.25">
      <c r="A377" s="570" t="s">
        <v>688</v>
      </c>
      <c r="B377" s="665" t="s">
        <v>1521</v>
      </c>
      <c r="C377" s="666">
        <v>6</v>
      </c>
      <c r="D377" s="617" t="s">
        <v>352</v>
      </c>
      <c r="E377" s="575">
        <v>200</v>
      </c>
      <c r="F377" s="524">
        <f t="shared" si="412"/>
        <v>60</v>
      </c>
      <c r="G377" s="545">
        <f t="shared" si="405"/>
        <v>260</v>
      </c>
      <c r="H377" s="563">
        <v>12</v>
      </c>
      <c r="I377" s="546">
        <v>8</v>
      </c>
      <c r="J377" s="545">
        <f t="shared" si="406"/>
        <v>20</v>
      </c>
      <c r="K377" s="545">
        <f t="shared" si="407"/>
        <v>52</v>
      </c>
      <c r="L377" s="545">
        <f t="shared" si="408"/>
        <v>15.600000000000001</v>
      </c>
      <c r="M377" s="545">
        <f t="shared" si="409"/>
        <v>67.599999999999994</v>
      </c>
      <c r="N377" s="547">
        <f t="shared" si="410"/>
        <v>1965.6000000000001</v>
      </c>
      <c r="O377" s="545">
        <f t="shared" si="411"/>
        <v>327.60000000000002</v>
      </c>
    </row>
    <row r="378" spans="1:16" ht="22" x14ac:dyDescent="0.25">
      <c r="A378" s="570" t="s">
        <v>689</v>
      </c>
      <c r="B378" s="665" t="s">
        <v>1522</v>
      </c>
      <c r="C378" s="666">
        <v>1</v>
      </c>
      <c r="D378" s="617" t="s">
        <v>352</v>
      </c>
      <c r="E378" s="575">
        <v>200</v>
      </c>
      <c r="F378" s="524">
        <f t="shared" si="412"/>
        <v>60</v>
      </c>
      <c r="G378" s="545">
        <f t="shared" si="405"/>
        <v>260</v>
      </c>
      <c r="H378" s="563">
        <v>12</v>
      </c>
      <c r="I378" s="546">
        <v>8</v>
      </c>
      <c r="J378" s="545">
        <f t="shared" si="406"/>
        <v>20</v>
      </c>
      <c r="K378" s="545">
        <f t="shared" si="407"/>
        <v>52</v>
      </c>
      <c r="L378" s="545">
        <f t="shared" si="408"/>
        <v>15.600000000000001</v>
      </c>
      <c r="M378" s="545">
        <f t="shared" si="409"/>
        <v>67.599999999999994</v>
      </c>
      <c r="N378" s="547">
        <f t="shared" si="410"/>
        <v>327.60000000000002</v>
      </c>
      <c r="O378" s="545">
        <f t="shared" si="411"/>
        <v>327.60000000000002</v>
      </c>
    </row>
    <row r="379" spans="1:16" ht="22" x14ac:dyDescent="0.25">
      <c r="A379" s="570" t="s">
        <v>435</v>
      </c>
      <c r="B379" s="665" t="s">
        <v>930</v>
      </c>
      <c r="C379" s="666">
        <v>10</v>
      </c>
      <c r="D379" s="617" t="s">
        <v>352</v>
      </c>
      <c r="E379" s="575">
        <v>135</v>
      </c>
      <c r="F379" s="524">
        <f t="shared" si="412"/>
        <v>40.5</v>
      </c>
      <c r="G379" s="545">
        <f t="shared" si="405"/>
        <v>175.5</v>
      </c>
      <c r="H379" s="563">
        <v>12</v>
      </c>
      <c r="I379" s="546">
        <v>8</v>
      </c>
      <c r="J379" s="545">
        <f t="shared" si="406"/>
        <v>20</v>
      </c>
      <c r="K379" s="545">
        <f t="shared" si="407"/>
        <v>35.1</v>
      </c>
      <c r="L379" s="545">
        <f t="shared" si="408"/>
        <v>10.530000000000001</v>
      </c>
      <c r="M379" s="545">
        <f t="shared" si="409"/>
        <v>45.63</v>
      </c>
      <c r="N379" s="547">
        <f t="shared" si="410"/>
        <v>2211.3000000000002</v>
      </c>
      <c r="O379" s="545">
        <f t="shared" si="411"/>
        <v>221.13000000000002</v>
      </c>
    </row>
    <row r="380" spans="1:16" ht="22" x14ac:dyDescent="0.25">
      <c r="A380" s="570" t="s">
        <v>690</v>
      </c>
      <c r="B380" s="665" t="s">
        <v>991</v>
      </c>
      <c r="C380" s="666">
        <v>11</v>
      </c>
      <c r="D380" s="617" t="s">
        <v>352</v>
      </c>
      <c r="E380" s="575">
        <v>135</v>
      </c>
      <c r="F380" s="524">
        <f t="shared" si="412"/>
        <v>40.5</v>
      </c>
      <c r="G380" s="545">
        <f t="shared" si="405"/>
        <v>175.5</v>
      </c>
      <c r="H380" s="563">
        <v>12</v>
      </c>
      <c r="I380" s="546">
        <v>8</v>
      </c>
      <c r="J380" s="545">
        <f t="shared" si="406"/>
        <v>20</v>
      </c>
      <c r="K380" s="545">
        <f t="shared" si="407"/>
        <v>35.1</v>
      </c>
      <c r="L380" s="545">
        <f t="shared" si="408"/>
        <v>10.530000000000001</v>
      </c>
      <c r="M380" s="545">
        <f t="shared" si="409"/>
        <v>45.63</v>
      </c>
      <c r="N380" s="547">
        <f t="shared" si="410"/>
        <v>2432.4299999999998</v>
      </c>
      <c r="O380" s="545">
        <f t="shared" si="411"/>
        <v>221.13</v>
      </c>
    </row>
    <row r="381" spans="1:16" ht="22" x14ac:dyDescent="0.25">
      <c r="A381" s="570" t="s">
        <v>891</v>
      </c>
      <c r="B381" s="665" t="s">
        <v>1268</v>
      </c>
      <c r="C381" s="666">
        <v>5</v>
      </c>
      <c r="D381" s="617" t="s">
        <v>352</v>
      </c>
      <c r="E381" s="575">
        <v>125</v>
      </c>
      <c r="F381" s="524">
        <f t="shared" si="412"/>
        <v>37.5</v>
      </c>
      <c r="G381" s="545">
        <f t="shared" si="405"/>
        <v>162.5</v>
      </c>
      <c r="H381" s="563">
        <v>12</v>
      </c>
      <c r="I381" s="546">
        <v>8</v>
      </c>
      <c r="J381" s="545">
        <f t="shared" si="406"/>
        <v>20</v>
      </c>
      <c r="K381" s="545">
        <f t="shared" si="407"/>
        <v>32.5</v>
      </c>
      <c r="L381" s="545">
        <f t="shared" si="408"/>
        <v>9.75</v>
      </c>
      <c r="M381" s="545">
        <f t="shared" si="409"/>
        <v>42.25</v>
      </c>
      <c r="N381" s="547">
        <f t="shared" si="410"/>
        <v>1023.75</v>
      </c>
      <c r="O381" s="545">
        <f t="shared" si="411"/>
        <v>204.75</v>
      </c>
    </row>
    <row r="382" spans="1:16" ht="22" x14ac:dyDescent="0.25">
      <c r="A382" s="570" t="s">
        <v>1370</v>
      </c>
      <c r="B382" s="665" t="s">
        <v>931</v>
      </c>
      <c r="C382" s="666">
        <v>11</v>
      </c>
      <c r="D382" s="617" t="s">
        <v>352</v>
      </c>
      <c r="E382" s="575">
        <v>105</v>
      </c>
      <c r="F382" s="524">
        <f t="shared" si="412"/>
        <v>31.5</v>
      </c>
      <c r="G382" s="545">
        <f>E382+F382</f>
        <v>136.5</v>
      </c>
      <c r="H382" s="563">
        <v>12</v>
      </c>
      <c r="I382" s="546">
        <v>8</v>
      </c>
      <c r="J382" s="545">
        <f>H382+I382</f>
        <v>20</v>
      </c>
      <c r="K382" s="545">
        <f>J382%*G382</f>
        <v>27.3</v>
      </c>
      <c r="L382" s="545">
        <f>5%*((G382)+(K382))</f>
        <v>8.1900000000000013</v>
      </c>
      <c r="M382" s="545">
        <f>K382+L382</f>
        <v>35.49</v>
      </c>
      <c r="N382" s="547">
        <f>(+M382+G382)*C382</f>
        <v>1891.89</v>
      </c>
      <c r="O382" s="545">
        <f>N382/C382</f>
        <v>171.99</v>
      </c>
    </row>
    <row r="383" spans="1:16" ht="22" x14ac:dyDescent="0.25">
      <c r="A383" s="570" t="s">
        <v>1371</v>
      </c>
      <c r="B383" s="665" t="s">
        <v>932</v>
      </c>
      <c r="C383" s="666">
        <v>5</v>
      </c>
      <c r="D383" s="617" t="s">
        <v>352</v>
      </c>
      <c r="E383" s="575">
        <v>100</v>
      </c>
      <c r="F383" s="524">
        <f t="shared" si="412"/>
        <v>30</v>
      </c>
      <c r="G383" s="545">
        <f>E383+F383</f>
        <v>130</v>
      </c>
      <c r="H383" s="563">
        <v>12</v>
      </c>
      <c r="I383" s="546">
        <v>8</v>
      </c>
      <c r="J383" s="545">
        <f>H383+I383</f>
        <v>20</v>
      </c>
      <c r="K383" s="545">
        <f>J383%*G383</f>
        <v>26</v>
      </c>
      <c r="L383" s="545">
        <f>5%*((G383)+(K383))</f>
        <v>7.8000000000000007</v>
      </c>
      <c r="M383" s="545">
        <f>K383+L383</f>
        <v>33.799999999999997</v>
      </c>
      <c r="N383" s="547">
        <f>(+M383+G383)*C383</f>
        <v>819</v>
      </c>
      <c r="O383" s="545">
        <f>N383/C383</f>
        <v>163.80000000000001</v>
      </c>
    </row>
    <row r="384" spans="1:16" ht="22" x14ac:dyDescent="0.25">
      <c r="A384" s="570" t="s">
        <v>1372</v>
      </c>
      <c r="B384" s="665" t="s">
        <v>971</v>
      </c>
      <c r="C384" s="666">
        <v>10</v>
      </c>
      <c r="D384" s="617" t="s">
        <v>352</v>
      </c>
      <c r="E384" s="575">
        <v>50</v>
      </c>
      <c r="F384" s="524">
        <f t="shared" si="412"/>
        <v>15</v>
      </c>
      <c r="G384" s="545">
        <f>E384+F384</f>
        <v>65</v>
      </c>
      <c r="H384" s="563">
        <v>12</v>
      </c>
      <c r="I384" s="546">
        <v>8</v>
      </c>
      <c r="J384" s="545">
        <f>H384+I384</f>
        <v>20</v>
      </c>
      <c r="K384" s="545">
        <f>J384%*G384</f>
        <v>13</v>
      </c>
      <c r="L384" s="545">
        <f>5%*((G384)+(K384))</f>
        <v>3.9000000000000004</v>
      </c>
      <c r="M384" s="545">
        <f>K384+L384</f>
        <v>16.899999999999999</v>
      </c>
      <c r="N384" s="547">
        <f>(+M384+G384)*C384</f>
        <v>819</v>
      </c>
      <c r="O384" s="545">
        <f>N384/C384</f>
        <v>81.900000000000006</v>
      </c>
    </row>
    <row r="385" spans="1:16" ht="22" x14ac:dyDescent="0.25">
      <c r="A385" s="570" t="s">
        <v>1373</v>
      </c>
      <c r="B385" s="665" t="s">
        <v>933</v>
      </c>
      <c r="C385" s="666">
        <v>13</v>
      </c>
      <c r="D385" s="617" t="s">
        <v>352</v>
      </c>
      <c r="E385" s="575">
        <v>30</v>
      </c>
      <c r="F385" s="524">
        <f t="shared" si="412"/>
        <v>9</v>
      </c>
      <c r="G385" s="545">
        <f t="shared" ref="G385:G387" si="413">E385+F385</f>
        <v>39</v>
      </c>
      <c r="H385" s="563">
        <v>12</v>
      </c>
      <c r="I385" s="546">
        <v>8</v>
      </c>
      <c r="J385" s="545">
        <f t="shared" ref="J385:J387" si="414">H385+I385</f>
        <v>20</v>
      </c>
      <c r="K385" s="545">
        <f t="shared" ref="K385:K387" si="415">J385%*G385</f>
        <v>7.8000000000000007</v>
      </c>
      <c r="L385" s="545">
        <f t="shared" ref="L385:L387" si="416">5%*((G385)+(K385))</f>
        <v>2.34</v>
      </c>
      <c r="M385" s="545">
        <f t="shared" ref="M385:M387" si="417">K385+L385</f>
        <v>10.14</v>
      </c>
      <c r="N385" s="547">
        <f t="shared" ref="N385:N387" si="418">(+M385+G385)*C385</f>
        <v>638.82000000000005</v>
      </c>
      <c r="O385" s="545">
        <f t="shared" ref="O385:O387" si="419">N385/C385</f>
        <v>49.14</v>
      </c>
    </row>
    <row r="386" spans="1:16" ht="22" x14ac:dyDescent="0.25">
      <c r="A386" s="570" t="s">
        <v>1374</v>
      </c>
      <c r="B386" s="665" t="s">
        <v>972</v>
      </c>
      <c r="C386" s="666">
        <v>10</v>
      </c>
      <c r="D386" s="617" t="s">
        <v>352</v>
      </c>
      <c r="E386" s="575">
        <v>85</v>
      </c>
      <c r="F386" s="524">
        <f t="shared" si="412"/>
        <v>25.5</v>
      </c>
      <c r="G386" s="545">
        <f t="shared" si="413"/>
        <v>110.5</v>
      </c>
      <c r="H386" s="563">
        <v>12</v>
      </c>
      <c r="I386" s="546">
        <v>8</v>
      </c>
      <c r="J386" s="545">
        <f t="shared" si="414"/>
        <v>20</v>
      </c>
      <c r="K386" s="545">
        <f t="shared" si="415"/>
        <v>22.1</v>
      </c>
      <c r="L386" s="545">
        <f t="shared" si="416"/>
        <v>6.63</v>
      </c>
      <c r="M386" s="545">
        <f t="shared" si="417"/>
        <v>28.73</v>
      </c>
      <c r="N386" s="547">
        <f t="shared" si="418"/>
        <v>1392.3</v>
      </c>
      <c r="O386" s="545">
        <f t="shared" si="419"/>
        <v>139.22999999999999</v>
      </c>
    </row>
    <row r="387" spans="1:16" ht="22" x14ac:dyDescent="0.25">
      <c r="A387" s="570" t="s">
        <v>1375</v>
      </c>
      <c r="B387" s="667" t="s">
        <v>934</v>
      </c>
      <c r="C387" s="668">
        <v>1</v>
      </c>
      <c r="D387" s="669" t="s">
        <v>5</v>
      </c>
      <c r="E387" s="669">
        <v>7500</v>
      </c>
      <c r="F387" s="670">
        <f>E387*0.25</f>
        <v>1875</v>
      </c>
      <c r="G387" s="545">
        <f t="shared" si="413"/>
        <v>9375</v>
      </c>
      <c r="H387" s="563">
        <v>12</v>
      </c>
      <c r="I387" s="546">
        <v>8</v>
      </c>
      <c r="J387" s="545">
        <f t="shared" si="414"/>
        <v>20</v>
      </c>
      <c r="K387" s="545">
        <f t="shared" si="415"/>
        <v>1875</v>
      </c>
      <c r="L387" s="545">
        <f t="shared" si="416"/>
        <v>562.5</v>
      </c>
      <c r="M387" s="545">
        <f t="shared" si="417"/>
        <v>2437.5</v>
      </c>
      <c r="N387" s="547">
        <f t="shared" si="418"/>
        <v>11812.5</v>
      </c>
      <c r="O387" s="545">
        <f t="shared" si="419"/>
        <v>11812.5</v>
      </c>
    </row>
    <row r="388" spans="1:16" ht="21" x14ac:dyDescent="0.25">
      <c r="A388" s="570"/>
      <c r="B388" s="671"/>
      <c r="C388" s="672"/>
      <c r="D388" s="672"/>
      <c r="E388" s="672"/>
      <c r="F388" s="524"/>
      <c r="G388" s="673"/>
      <c r="H388" s="673"/>
      <c r="I388" s="673"/>
      <c r="J388" s="673"/>
      <c r="K388" s="673"/>
      <c r="L388" s="673"/>
      <c r="M388" s="554" t="s">
        <v>343</v>
      </c>
      <c r="N388" s="674">
        <f>SUM(N375:N387)</f>
        <v>45972.990000000005</v>
      </c>
      <c r="O388" s="673"/>
      <c r="P388" s="370">
        <f>N388</f>
        <v>45972.990000000005</v>
      </c>
    </row>
    <row r="389" spans="1:16" ht="21" x14ac:dyDescent="0.25">
      <c r="A389" s="587">
        <f>+A374+0.1</f>
        <v>9.1999999999999993</v>
      </c>
      <c r="B389" s="675" t="s">
        <v>1269</v>
      </c>
      <c r="C389" s="663"/>
      <c r="D389" s="575"/>
      <c r="E389" s="575"/>
      <c r="F389" s="524"/>
      <c r="G389" s="597"/>
      <c r="H389" s="597"/>
      <c r="I389" s="597"/>
      <c r="J389" s="597"/>
      <c r="K389" s="597"/>
      <c r="L389" s="597"/>
      <c r="M389" s="597"/>
      <c r="N389" s="664"/>
      <c r="O389" s="524"/>
    </row>
    <row r="390" spans="1:16" ht="22" x14ac:dyDescent="0.25">
      <c r="A390" s="570" t="s">
        <v>378</v>
      </c>
      <c r="B390" s="665" t="s">
        <v>1519</v>
      </c>
      <c r="C390" s="666">
        <v>258</v>
      </c>
      <c r="D390" s="617" t="s">
        <v>98</v>
      </c>
      <c r="E390" s="596">
        <v>200</v>
      </c>
      <c r="F390" s="524">
        <f t="shared" ref="F390:F394" si="420">E390*0.3</f>
        <v>60</v>
      </c>
      <c r="G390" s="545">
        <f t="shared" ref="G390:G395" si="421">E390+F390</f>
        <v>260</v>
      </c>
      <c r="H390" s="563">
        <v>12</v>
      </c>
      <c r="I390" s="546">
        <v>8</v>
      </c>
      <c r="J390" s="545">
        <f t="shared" ref="J390:J395" si="422">H390+I390</f>
        <v>20</v>
      </c>
      <c r="K390" s="545">
        <f t="shared" ref="K390:K395" si="423">J390%*G390</f>
        <v>52</v>
      </c>
      <c r="L390" s="545">
        <f t="shared" ref="L390:L395" si="424">5%*((G390)+(K390))</f>
        <v>15.600000000000001</v>
      </c>
      <c r="M390" s="545">
        <f t="shared" ref="M390:M395" si="425">K390+L390</f>
        <v>67.599999999999994</v>
      </c>
      <c r="N390" s="547">
        <f t="shared" ref="N390:N395" si="426">(+M390+G390)*C390</f>
        <v>84520.8</v>
      </c>
      <c r="O390" s="545">
        <f t="shared" ref="O390:O395" si="427">N390/C390</f>
        <v>327.60000000000002</v>
      </c>
    </row>
    <row r="391" spans="1:16" ht="22" x14ac:dyDescent="0.25">
      <c r="A391" s="570" t="s">
        <v>380</v>
      </c>
      <c r="B391" s="665" t="s">
        <v>1523</v>
      </c>
      <c r="C391" s="666">
        <v>21</v>
      </c>
      <c r="D391" s="617" t="s">
        <v>98</v>
      </c>
      <c r="E391" s="596">
        <v>200</v>
      </c>
      <c r="F391" s="524">
        <f t="shared" si="420"/>
        <v>60</v>
      </c>
      <c r="G391" s="545">
        <f t="shared" si="421"/>
        <v>260</v>
      </c>
      <c r="H391" s="563">
        <v>12</v>
      </c>
      <c r="I391" s="546">
        <v>8</v>
      </c>
      <c r="J391" s="545">
        <f t="shared" si="422"/>
        <v>20</v>
      </c>
      <c r="K391" s="545">
        <f t="shared" si="423"/>
        <v>52</v>
      </c>
      <c r="L391" s="545">
        <f t="shared" si="424"/>
        <v>15.600000000000001</v>
      </c>
      <c r="M391" s="545">
        <f t="shared" si="425"/>
        <v>67.599999999999994</v>
      </c>
      <c r="N391" s="547">
        <f t="shared" si="426"/>
        <v>6879.6</v>
      </c>
      <c r="O391" s="545">
        <f t="shared" si="427"/>
        <v>327.60000000000002</v>
      </c>
    </row>
    <row r="392" spans="1:16" ht="22" x14ac:dyDescent="0.25">
      <c r="A392" s="570" t="s">
        <v>381</v>
      </c>
      <c r="B392" s="665" t="s">
        <v>932</v>
      </c>
      <c r="C392" s="666">
        <v>59</v>
      </c>
      <c r="D392" s="617" t="s">
        <v>352</v>
      </c>
      <c r="E392" s="575">
        <v>50</v>
      </c>
      <c r="F392" s="524">
        <f t="shared" si="420"/>
        <v>15</v>
      </c>
      <c r="G392" s="545">
        <f t="shared" si="421"/>
        <v>65</v>
      </c>
      <c r="H392" s="563">
        <v>12</v>
      </c>
      <c r="I392" s="546">
        <v>8</v>
      </c>
      <c r="J392" s="545">
        <f t="shared" si="422"/>
        <v>20</v>
      </c>
      <c r="K392" s="545">
        <f t="shared" si="423"/>
        <v>13</v>
      </c>
      <c r="L392" s="545">
        <f t="shared" si="424"/>
        <v>3.9000000000000004</v>
      </c>
      <c r="M392" s="545">
        <f t="shared" si="425"/>
        <v>16.899999999999999</v>
      </c>
      <c r="N392" s="547">
        <f t="shared" si="426"/>
        <v>4832.1000000000004</v>
      </c>
      <c r="O392" s="545">
        <f t="shared" si="427"/>
        <v>81.900000000000006</v>
      </c>
    </row>
    <row r="393" spans="1:16" ht="22" x14ac:dyDescent="0.25">
      <c r="A393" s="570" t="s">
        <v>1376</v>
      </c>
      <c r="B393" s="665" t="s">
        <v>1270</v>
      </c>
      <c r="C393" s="666">
        <v>9</v>
      </c>
      <c r="D393" s="617" t="s">
        <v>352</v>
      </c>
      <c r="E393" s="575">
        <v>45</v>
      </c>
      <c r="F393" s="524">
        <f t="shared" si="420"/>
        <v>13.5</v>
      </c>
      <c r="G393" s="545">
        <f t="shared" si="421"/>
        <v>58.5</v>
      </c>
      <c r="H393" s="563">
        <v>12</v>
      </c>
      <c r="I393" s="546">
        <v>8</v>
      </c>
      <c r="J393" s="545">
        <f t="shared" si="422"/>
        <v>20</v>
      </c>
      <c r="K393" s="545">
        <f t="shared" si="423"/>
        <v>11.700000000000001</v>
      </c>
      <c r="L393" s="545">
        <f t="shared" si="424"/>
        <v>3.5100000000000002</v>
      </c>
      <c r="M393" s="545">
        <f t="shared" si="425"/>
        <v>15.21</v>
      </c>
      <c r="N393" s="547">
        <f t="shared" si="426"/>
        <v>663.3900000000001</v>
      </c>
      <c r="O393" s="545">
        <f t="shared" si="427"/>
        <v>73.710000000000008</v>
      </c>
    </row>
    <row r="394" spans="1:16" ht="22" x14ac:dyDescent="0.25">
      <c r="A394" s="570" t="s">
        <v>1377</v>
      </c>
      <c r="B394" s="665" t="s">
        <v>1271</v>
      </c>
      <c r="C394" s="666">
        <v>2</v>
      </c>
      <c r="D394" s="617" t="s">
        <v>352</v>
      </c>
      <c r="E394" s="575">
        <v>95</v>
      </c>
      <c r="F394" s="524">
        <f t="shared" si="420"/>
        <v>28.5</v>
      </c>
      <c r="G394" s="545">
        <f t="shared" si="421"/>
        <v>123.5</v>
      </c>
      <c r="H394" s="563">
        <v>12</v>
      </c>
      <c r="I394" s="546">
        <v>8</v>
      </c>
      <c r="J394" s="545">
        <f t="shared" si="422"/>
        <v>20</v>
      </c>
      <c r="K394" s="545">
        <f t="shared" si="423"/>
        <v>24.700000000000003</v>
      </c>
      <c r="L394" s="545">
        <f t="shared" si="424"/>
        <v>7.41</v>
      </c>
      <c r="M394" s="545">
        <f t="shared" si="425"/>
        <v>32.11</v>
      </c>
      <c r="N394" s="547">
        <f t="shared" si="426"/>
        <v>311.22000000000003</v>
      </c>
      <c r="O394" s="545">
        <f t="shared" si="427"/>
        <v>155.61000000000001</v>
      </c>
    </row>
    <row r="395" spans="1:16" ht="22" x14ac:dyDescent="0.25">
      <c r="A395" s="570" t="s">
        <v>1378</v>
      </c>
      <c r="B395" s="667" t="s">
        <v>934</v>
      </c>
      <c r="C395" s="666">
        <v>1</v>
      </c>
      <c r="D395" s="617" t="s">
        <v>5</v>
      </c>
      <c r="E395" s="617">
        <v>5000</v>
      </c>
      <c r="F395" s="670">
        <f>E395*0.25</f>
        <v>1250</v>
      </c>
      <c r="G395" s="545">
        <f t="shared" si="421"/>
        <v>6250</v>
      </c>
      <c r="H395" s="563">
        <v>12</v>
      </c>
      <c r="I395" s="546">
        <v>8</v>
      </c>
      <c r="J395" s="545">
        <f t="shared" si="422"/>
        <v>20</v>
      </c>
      <c r="K395" s="545">
        <f t="shared" si="423"/>
        <v>1250</v>
      </c>
      <c r="L395" s="545">
        <f t="shared" si="424"/>
        <v>375</v>
      </c>
      <c r="M395" s="545">
        <f t="shared" si="425"/>
        <v>1625</v>
      </c>
      <c r="N395" s="547">
        <f t="shared" si="426"/>
        <v>7875</v>
      </c>
      <c r="O395" s="545">
        <f t="shared" si="427"/>
        <v>7875</v>
      </c>
    </row>
    <row r="396" spans="1:16" ht="21" x14ac:dyDescent="0.25">
      <c r="A396" s="570"/>
      <c r="B396" s="671"/>
      <c r="C396" s="672"/>
      <c r="D396" s="672"/>
      <c r="E396" s="672"/>
      <c r="F396" s="524"/>
      <c r="G396" s="673"/>
      <c r="H396" s="673"/>
      <c r="I396" s="673"/>
      <c r="J396" s="673"/>
      <c r="K396" s="673"/>
      <c r="L396" s="673"/>
      <c r="M396" s="554" t="s">
        <v>343</v>
      </c>
      <c r="N396" s="674">
        <f>SUM(N389:N395)</f>
        <v>105082.11000000002</v>
      </c>
      <c r="O396" s="673"/>
      <c r="P396" s="370">
        <f>N396</f>
        <v>105082.11000000002</v>
      </c>
    </row>
    <row r="397" spans="1:16" ht="21" x14ac:dyDescent="0.25">
      <c r="A397" s="676">
        <v>9.3000000000000007</v>
      </c>
      <c r="B397" s="677" t="s">
        <v>507</v>
      </c>
      <c r="C397" s="678"/>
      <c r="D397" s="679"/>
      <c r="E397" s="624"/>
      <c r="F397" s="679"/>
      <c r="G397" s="680"/>
      <c r="H397" s="680"/>
      <c r="I397" s="680"/>
      <c r="J397" s="680"/>
      <c r="K397" s="680"/>
      <c r="L397" s="680"/>
      <c r="M397" s="680"/>
      <c r="N397" s="681"/>
      <c r="O397" s="624"/>
    </row>
    <row r="398" spans="1:16" ht="22" x14ac:dyDescent="0.2">
      <c r="A398" s="682" t="s">
        <v>382</v>
      </c>
      <c r="B398" s="683" t="s">
        <v>1494</v>
      </c>
      <c r="C398" s="679">
        <v>10</v>
      </c>
      <c r="D398" s="684" t="s">
        <v>98</v>
      </c>
      <c r="E398" s="685">
        <v>300</v>
      </c>
      <c r="F398" s="679">
        <v>100</v>
      </c>
      <c r="G398" s="579">
        <f t="shared" ref="G398:G407" si="428">E398+F398</f>
        <v>400</v>
      </c>
      <c r="H398" s="579">
        <v>12</v>
      </c>
      <c r="I398" s="624">
        <v>8</v>
      </c>
      <c r="J398" s="579">
        <f t="shared" ref="J398:J407" si="429">H398+I398</f>
        <v>20</v>
      </c>
      <c r="K398" s="579">
        <f t="shared" ref="K398:K407" si="430">J398%*G398</f>
        <v>80</v>
      </c>
      <c r="L398" s="579">
        <f t="shared" ref="L398:L407" si="431">5%*((G398)+(K398))</f>
        <v>24</v>
      </c>
      <c r="M398" s="579">
        <f t="shared" ref="M398:M407" si="432">K398+L398</f>
        <v>104</v>
      </c>
      <c r="N398" s="686">
        <f t="shared" ref="N398:N407" si="433">(+M398+G398)*C398</f>
        <v>5040</v>
      </c>
      <c r="O398" s="579">
        <f t="shared" ref="O398:O407" si="434">N398/C398</f>
        <v>504</v>
      </c>
    </row>
    <row r="399" spans="1:16" ht="22" x14ac:dyDescent="0.2">
      <c r="A399" s="682" t="s">
        <v>447</v>
      </c>
      <c r="B399" s="683" t="s">
        <v>1495</v>
      </c>
      <c r="C399" s="679">
        <v>50</v>
      </c>
      <c r="D399" s="684" t="s">
        <v>98</v>
      </c>
      <c r="E399" s="685">
        <v>650</v>
      </c>
      <c r="F399" s="679">
        <v>300</v>
      </c>
      <c r="G399" s="579">
        <f t="shared" si="428"/>
        <v>950</v>
      </c>
      <c r="H399" s="579">
        <v>12</v>
      </c>
      <c r="I399" s="624">
        <v>8</v>
      </c>
      <c r="J399" s="579">
        <f t="shared" si="429"/>
        <v>20</v>
      </c>
      <c r="K399" s="579">
        <f t="shared" si="430"/>
        <v>190</v>
      </c>
      <c r="L399" s="579">
        <f t="shared" si="431"/>
        <v>57</v>
      </c>
      <c r="M399" s="579">
        <f t="shared" si="432"/>
        <v>247</v>
      </c>
      <c r="N399" s="686">
        <f t="shared" si="433"/>
        <v>59850</v>
      </c>
      <c r="O399" s="579">
        <f t="shared" si="434"/>
        <v>1197</v>
      </c>
    </row>
    <row r="400" spans="1:16" ht="22" x14ac:dyDescent="0.2">
      <c r="A400" s="682" t="s">
        <v>383</v>
      </c>
      <c r="B400" s="683" t="s">
        <v>1272</v>
      </c>
      <c r="C400" s="679">
        <v>1</v>
      </c>
      <c r="D400" s="684" t="s">
        <v>1</v>
      </c>
      <c r="E400" s="685">
        <v>1000</v>
      </c>
      <c r="F400" s="679">
        <v>400</v>
      </c>
      <c r="G400" s="579">
        <f t="shared" si="428"/>
        <v>1400</v>
      </c>
      <c r="H400" s="579">
        <v>12</v>
      </c>
      <c r="I400" s="624">
        <v>8</v>
      </c>
      <c r="J400" s="579">
        <f t="shared" si="429"/>
        <v>20</v>
      </c>
      <c r="K400" s="579">
        <f t="shared" si="430"/>
        <v>280</v>
      </c>
      <c r="L400" s="579">
        <f t="shared" si="431"/>
        <v>84</v>
      </c>
      <c r="M400" s="579">
        <f t="shared" si="432"/>
        <v>364</v>
      </c>
      <c r="N400" s="686">
        <f t="shared" si="433"/>
        <v>1764</v>
      </c>
      <c r="O400" s="579">
        <f t="shared" si="434"/>
        <v>1764</v>
      </c>
    </row>
    <row r="401" spans="1:16" ht="22" x14ac:dyDescent="0.2">
      <c r="A401" s="682" t="s">
        <v>384</v>
      </c>
      <c r="B401" s="683" t="s">
        <v>1505</v>
      </c>
      <c r="C401" s="679">
        <v>2</v>
      </c>
      <c r="D401" s="684" t="s">
        <v>1</v>
      </c>
      <c r="E401" s="685">
        <v>1500</v>
      </c>
      <c r="F401" s="679">
        <f t="shared" ref="F401:F405" si="435">0.4*E401</f>
        <v>600</v>
      </c>
      <c r="G401" s="579">
        <f t="shared" si="428"/>
        <v>2100</v>
      </c>
      <c r="H401" s="579">
        <v>12</v>
      </c>
      <c r="I401" s="624">
        <v>8</v>
      </c>
      <c r="J401" s="579">
        <f t="shared" si="429"/>
        <v>20</v>
      </c>
      <c r="K401" s="579">
        <f t="shared" si="430"/>
        <v>420</v>
      </c>
      <c r="L401" s="579">
        <f t="shared" si="431"/>
        <v>126</v>
      </c>
      <c r="M401" s="579">
        <f t="shared" si="432"/>
        <v>546</v>
      </c>
      <c r="N401" s="686">
        <f t="shared" si="433"/>
        <v>5292</v>
      </c>
      <c r="O401" s="579">
        <f t="shared" si="434"/>
        <v>2646</v>
      </c>
    </row>
    <row r="402" spans="1:16" ht="22" x14ac:dyDescent="0.2">
      <c r="A402" s="682" t="s">
        <v>1379</v>
      </c>
      <c r="B402" s="683" t="s">
        <v>973</v>
      </c>
      <c r="C402" s="679">
        <v>1</v>
      </c>
      <c r="D402" s="684" t="s">
        <v>1</v>
      </c>
      <c r="E402" s="685">
        <v>4000</v>
      </c>
      <c r="F402" s="679">
        <f t="shared" si="435"/>
        <v>1600</v>
      </c>
      <c r="G402" s="579">
        <f t="shared" si="428"/>
        <v>5600</v>
      </c>
      <c r="H402" s="579">
        <v>12</v>
      </c>
      <c r="I402" s="624">
        <v>8</v>
      </c>
      <c r="J402" s="579">
        <f t="shared" si="429"/>
        <v>20</v>
      </c>
      <c r="K402" s="579">
        <f t="shared" si="430"/>
        <v>1120</v>
      </c>
      <c r="L402" s="579">
        <f t="shared" si="431"/>
        <v>336</v>
      </c>
      <c r="M402" s="579">
        <f t="shared" si="432"/>
        <v>1456</v>
      </c>
      <c r="N402" s="686">
        <f t="shared" si="433"/>
        <v>7056</v>
      </c>
      <c r="O402" s="579">
        <f t="shared" si="434"/>
        <v>7056</v>
      </c>
    </row>
    <row r="403" spans="1:16" ht="22" x14ac:dyDescent="0.2">
      <c r="A403" s="682" t="s">
        <v>1380</v>
      </c>
      <c r="B403" s="683" t="s">
        <v>1506</v>
      </c>
      <c r="C403" s="679">
        <v>2</v>
      </c>
      <c r="D403" s="684" t="s">
        <v>1</v>
      </c>
      <c r="E403" s="685">
        <v>10000</v>
      </c>
      <c r="F403" s="679">
        <f t="shared" si="435"/>
        <v>4000</v>
      </c>
      <c r="G403" s="579">
        <f t="shared" ref="G403" si="436">E403+F403</f>
        <v>14000</v>
      </c>
      <c r="H403" s="579">
        <v>12</v>
      </c>
      <c r="I403" s="624">
        <v>8</v>
      </c>
      <c r="J403" s="579">
        <f t="shared" ref="J403" si="437">H403+I403</f>
        <v>20</v>
      </c>
      <c r="K403" s="579">
        <f t="shared" ref="K403" si="438">J403%*G403</f>
        <v>2800</v>
      </c>
      <c r="L403" s="579">
        <f t="shared" ref="L403" si="439">5%*((G403)+(K403))</f>
        <v>840</v>
      </c>
      <c r="M403" s="579">
        <f t="shared" ref="M403" si="440">K403+L403</f>
        <v>3640</v>
      </c>
      <c r="N403" s="686">
        <f t="shared" ref="N403" si="441">(+M403+G403)*C403</f>
        <v>35280</v>
      </c>
      <c r="O403" s="579">
        <f t="shared" ref="O403" si="442">N403/C403</f>
        <v>17640</v>
      </c>
    </row>
    <row r="404" spans="1:16" ht="22" x14ac:dyDescent="0.2">
      <c r="A404" s="682" t="s">
        <v>1381</v>
      </c>
      <c r="B404" s="683" t="s">
        <v>1498</v>
      </c>
      <c r="C404" s="679">
        <v>1</v>
      </c>
      <c r="D404" s="684" t="s">
        <v>1</v>
      </c>
      <c r="E404" s="685">
        <v>350</v>
      </c>
      <c r="F404" s="679">
        <f t="shared" si="435"/>
        <v>140</v>
      </c>
      <c r="G404" s="579">
        <f t="shared" si="428"/>
        <v>490</v>
      </c>
      <c r="H404" s="579">
        <v>12</v>
      </c>
      <c r="I404" s="624">
        <v>8</v>
      </c>
      <c r="J404" s="579">
        <f t="shared" si="429"/>
        <v>20</v>
      </c>
      <c r="K404" s="579">
        <f t="shared" si="430"/>
        <v>98</v>
      </c>
      <c r="L404" s="579">
        <f t="shared" si="431"/>
        <v>29.400000000000002</v>
      </c>
      <c r="M404" s="579">
        <f t="shared" si="432"/>
        <v>127.4</v>
      </c>
      <c r="N404" s="686">
        <f t="shared" si="433"/>
        <v>617.4</v>
      </c>
      <c r="O404" s="579">
        <f t="shared" si="434"/>
        <v>617.4</v>
      </c>
      <c r="P404" s="520"/>
    </row>
    <row r="405" spans="1:16" ht="22" x14ac:dyDescent="0.2">
      <c r="A405" s="682" t="s">
        <v>1496</v>
      </c>
      <c r="B405" s="683" t="s">
        <v>1507</v>
      </c>
      <c r="C405" s="679">
        <v>6</v>
      </c>
      <c r="D405" s="684" t="s">
        <v>98</v>
      </c>
      <c r="E405" s="685">
        <v>200</v>
      </c>
      <c r="F405" s="679">
        <f t="shared" si="435"/>
        <v>80</v>
      </c>
      <c r="G405" s="579">
        <f t="shared" ref="G405" si="443">E405+F405</f>
        <v>280</v>
      </c>
      <c r="H405" s="579">
        <v>12</v>
      </c>
      <c r="I405" s="624">
        <v>8</v>
      </c>
      <c r="J405" s="579">
        <f t="shared" ref="J405" si="444">H405+I405</f>
        <v>20</v>
      </c>
      <c r="K405" s="579">
        <f t="shared" ref="K405" si="445">J405%*G405</f>
        <v>56</v>
      </c>
      <c r="L405" s="579">
        <f t="shared" ref="L405" si="446">5%*((G405)+(K405))</f>
        <v>16.8</v>
      </c>
      <c r="M405" s="579">
        <f t="shared" ref="M405" si="447">K405+L405</f>
        <v>72.8</v>
      </c>
      <c r="N405" s="686">
        <f t="shared" ref="N405" si="448">(+M405+G405)*C405</f>
        <v>2116.8000000000002</v>
      </c>
      <c r="O405" s="579">
        <f t="shared" ref="O405" si="449">N405/C405</f>
        <v>352.8</v>
      </c>
      <c r="P405" s="520"/>
    </row>
    <row r="406" spans="1:16" ht="22" x14ac:dyDescent="0.2">
      <c r="A406" s="682" t="s">
        <v>1497</v>
      </c>
      <c r="B406" s="683" t="s">
        <v>1514</v>
      </c>
      <c r="C406" s="679">
        <v>1</v>
      </c>
      <c r="D406" s="684" t="s">
        <v>1</v>
      </c>
      <c r="E406" s="685">
        <v>5500</v>
      </c>
      <c r="F406" s="679">
        <f>0.1*E406</f>
        <v>550</v>
      </c>
      <c r="G406" s="579">
        <f t="shared" ref="G406" si="450">E406+F406</f>
        <v>6050</v>
      </c>
      <c r="H406" s="579">
        <v>12</v>
      </c>
      <c r="I406" s="624">
        <v>8</v>
      </c>
      <c r="J406" s="579">
        <f t="shared" ref="J406" si="451">H406+I406</f>
        <v>20</v>
      </c>
      <c r="K406" s="579">
        <f t="shared" ref="K406" si="452">J406%*G406</f>
        <v>1210</v>
      </c>
      <c r="L406" s="579">
        <f t="shared" ref="L406" si="453">5%*((G406)+(K406))</f>
        <v>363</v>
      </c>
      <c r="M406" s="579">
        <f t="shared" ref="M406" si="454">K406+L406</f>
        <v>1573</v>
      </c>
      <c r="N406" s="686">
        <f t="shared" ref="N406" si="455">(+M406+G406)*C406</f>
        <v>7623</v>
      </c>
      <c r="O406" s="579">
        <f t="shared" ref="O406" si="456">N406/C406</f>
        <v>7623</v>
      </c>
      <c r="P406" s="520"/>
    </row>
    <row r="407" spans="1:16" ht="44" x14ac:dyDescent="0.2">
      <c r="A407" s="682" t="s">
        <v>1499</v>
      </c>
      <c r="B407" s="687" t="s">
        <v>1508</v>
      </c>
      <c r="C407" s="679">
        <v>1</v>
      </c>
      <c r="D407" s="684" t="s">
        <v>5</v>
      </c>
      <c r="E407" s="685">
        <v>10000</v>
      </c>
      <c r="F407" s="679">
        <v>2000</v>
      </c>
      <c r="G407" s="579">
        <f t="shared" si="428"/>
        <v>12000</v>
      </c>
      <c r="H407" s="579">
        <v>12</v>
      </c>
      <c r="I407" s="624">
        <v>8</v>
      </c>
      <c r="J407" s="579">
        <f t="shared" si="429"/>
        <v>20</v>
      </c>
      <c r="K407" s="579">
        <f t="shared" si="430"/>
        <v>2400</v>
      </c>
      <c r="L407" s="579">
        <f t="shared" si="431"/>
        <v>720</v>
      </c>
      <c r="M407" s="579">
        <f t="shared" si="432"/>
        <v>3120</v>
      </c>
      <c r="N407" s="686">
        <f t="shared" si="433"/>
        <v>15120</v>
      </c>
      <c r="O407" s="579">
        <f t="shared" si="434"/>
        <v>15120</v>
      </c>
    </row>
    <row r="408" spans="1:16" ht="21" x14ac:dyDescent="0.25">
      <c r="A408" s="570"/>
      <c r="B408" s="671"/>
      <c r="C408" s="672"/>
      <c r="D408" s="672"/>
      <c r="E408" s="672"/>
      <c r="F408" s="672"/>
      <c r="G408" s="673"/>
      <c r="H408" s="673"/>
      <c r="I408" s="673"/>
      <c r="J408" s="673"/>
      <c r="K408" s="673"/>
      <c r="L408" s="673"/>
      <c r="M408" s="554" t="s">
        <v>343</v>
      </c>
      <c r="N408" s="674">
        <f>SUM(N398:N407)</f>
        <v>139759.20000000001</v>
      </c>
      <c r="O408" s="673"/>
      <c r="P408" s="370">
        <f>N408</f>
        <v>139759.20000000001</v>
      </c>
    </row>
    <row r="409" spans="1:16" ht="21" x14ac:dyDescent="0.25">
      <c r="A409" s="587">
        <f>A397+0.1</f>
        <v>9.4</v>
      </c>
      <c r="B409" s="688" t="s">
        <v>1595</v>
      </c>
      <c r="C409" s="672"/>
      <c r="D409" s="672"/>
      <c r="E409" s="672"/>
      <c r="F409" s="672"/>
      <c r="G409" s="673"/>
      <c r="H409" s="673"/>
      <c r="I409" s="673"/>
      <c r="J409" s="673"/>
      <c r="K409" s="673"/>
      <c r="L409" s="673"/>
      <c r="M409" s="673"/>
      <c r="N409" s="673"/>
      <c r="O409" s="673"/>
    </row>
    <row r="410" spans="1:16" ht="22" x14ac:dyDescent="0.25">
      <c r="A410" s="570" t="s">
        <v>379</v>
      </c>
      <c r="B410" s="610" t="s">
        <v>417</v>
      </c>
      <c r="C410" s="689">
        <f>16.2*1.1</f>
        <v>17.82</v>
      </c>
      <c r="D410" s="524" t="s">
        <v>637</v>
      </c>
      <c r="E410" s="572">
        <v>0</v>
      </c>
      <c r="F410" s="545">
        <v>150</v>
      </c>
      <c r="G410" s="545">
        <f t="shared" ref="G410:G412" si="457">E410+F410</f>
        <v>150</v>
      </c>
      <c r="H410" s="563">
        <v>12</v>
      </c>
      <c r="I410" s="546">
        <v>8</v>
      </c>
      <c r="J410" s="545">
        <f t="shared" ref="J410:J412" si="458">H410+I410</f>
        <v>20</v>
      </c>
      <c r="K410" s="545">
        <f t="shared" ref="K410:K412" si="459">J410%*G410</f>
        <v>30</v>
      </c>
      <c r="L410" s="545">
        <f t="shared" ref="L410:L412" si="460">5%*((G410)+(K410))</f>
        <v>9</v>
      </c>
      <c r="M410" s="545">
        <f t="shared" ref="M410:M412" si="461">K410+L410</f>
        <v>39</v>
      </c>
      <c r="N410" s="547">
        <f t="shared" ref="N410:N412" si="462">(+M410+G410)*C410</f>
        <v>3367.98</v>
      </c>
      <c r="O410" s="545">
        <f t="shared" ref="O410:O412" si="463">N410/C410</f>
        <v>189</v>
      </c>
    </row>
    <row r="411" spans="1:16" ht="22" x14ac:dyDescent="0.25">
      <c r="A411" s="570" t="s">
        <v>396</v>
      </c>
      <c r="B411" s="671" t="s">
        <v>1274</v>
      </c>
      <c r="C411" s="672">
        <f>(0.9*2)+(0.072*14)</f>
        <v>2.8079999999999998</v>
      </c>
      <c r="D411" s="524" t="s">
        <v>637</v>
      </c>
      <c r="E411" s="572">
        <v>4000</v>
      </c>
      <c r="F411" s="545">
        <v>1000</v>
      </c>
      <c r="G411" s="545">
        <f t="shared" si="457"/>
        <v>5000</v>
      </c>
      <c r="H411" s="563">
        <v>12</v>
      </c>
      <c r="I411" s="546">
        <v>8</v>
      </c>
      <c r="J411" s="545">
        <f t="shared" si="458"/>
        <v>20</v>
      </c>
      <c r="K411" s="545">
        <f t="shared" si="459"/>
        <v>1000</v>
      </c>
      <c r="L411" s="545">
        <f t="shared" si="460"/>
        <v>300</v>
      </c>
      <c r="M411" s="545">
        <f t="shared" si="461"/>
        <v>1300</v>
      </c>
      <c r="N411" s="547">
        <f t="shared" si="462"/>
        <v>17690.399999999998</v>
      </c>
      <c r="O411" s="545">
        <f t="shared" si="463"/>
        <v>6300</v>
      </c>
    </row>
    <row r="412" spans="1:16" ht="22" x14ac:dyDescent="0.25">
      <c r="A412" s="570" t="s">
        <v>397</v>
      </c>
      <c r="B412" s="671" t="s">
        <v>1275</v>
      </c>
      <c r="C412" s="672">
        <f>(170*2)+(18*14)</f>
        <v>592</v>
      </c>
      <c r="D412" s="672" t="s">
        <v>352</v>
      </c>
      <c r="E412" s="672">
        <v>15</v>
      </c>
      <c r="F412" s="672">
        <f>E412*0.3</f>
        <v>4.5</v>
      </c>
      <c r="G412" s="545">
        <f t="shared" si="457"/>
        <v>19.5</v>
      </c>
      <c r="H412" s="563">
        <v>12</v>
      </c>
      <c r="I412" s="546">
        <v>8</v>
      </c>
      <c r="J412" s="545">
        <f t="shared" si="458"/>
        <v>20</v>
      </c>
      <c r="K412" s="545">
        <f t="shared" si="459"/>
        <v>3.9000000000000004</v>
      </c>
      <c r="L412" s="545">
        <f t="shared" si="460"/>
        <v>1.17</v>
      </c>
      <c r="M412" s="545">
        <f t="shared" si="461"/>
        <v>5.07</v>
      </c>
      <c r="N412" s="547">
        <f t="shared" si="462"/>
        <v>14545.44</v>
      </c>
      <c r="O412" s="545">
        <f t="shared" si="463"/>
        <v>24.57</v>
      </c>
    </row>
    <row r="413" spans="1:16" ht="22" x14ac:dyDescent="0.25">
      <c r="A413" s="570" t="s">
        <v>1382</v>
      </c>
      <c r="B413" s="571" t="s">
        <v>413</v>
      </c>
      <c r="C413" s="672"/>
      <c r="D413" s="672"/>
      <c r="E413" s="672"/>
      <c r="F413" s="672"/>
      <c r="G413" s="673"/>
      <c r="H413" s="673"/>
      <c r="I413" s="673"/>
      <c r="J413" s="673"/>
      <c r="K413" s="673"/>
      <c r="L413" s="673"/>
      <c r="M413" s="673"/>
      <c r="N413" s="673"/>
      <c r="O413" s="673"/>
    </row>
    <row r="414" spans="1:16" ht="22" x14ac:dyDescent="0.25">
      <c r="A414" s="570" t="s">
        <v>1383</v>
      </c>
      <c r="B414" s="574" t="s">
        <v>929</v>
      </c>
      <c r="C414" s="672">
        <f>(165*2)+(18.48*14)</f>
        <v>588.72</v>
      </c>
      <c r="D414" s="672" t="s">
        <v>298</v>
      </c>
      <c r="E414" s="572">
        <v>80</v>
      </c>
      <c r="F414" s="569">
        <v>10</v>
      </c>
      <c r="G414" s="545">
        <f t="shared" ref="G414:G415" si="464">E414+F414</f>
        <v>90</v>
      </c>
      <c r="H414" s="563">
        <v>12</v>
      </c>
      <c r="I414" s="546">
        <v>8</v>
      </c>
      <c r="J414" s="545">
        <f t="shared" ref="J414:J415" si="465">H414+I414</f>
        <v>20</v>
      </c>
      <c r="K414" s="545">
        <f t="shared" ref="K414:K415" si="466">J414%*G414</f>
        <v>18</v>
      </c>
      <c r="L414" s="545">
        <f t="shared" ref="L414:L415" si="467">5%*((G414)+(K414))</f>
        <v>5.4</v>
      </c>
      <c r="M414" s="545">
        <f t="shared" ref="M414:M415" si="468">K414+L414</f>
        <v>23.4</v>
      </c>
      <c r="N414" s="547">
        <f t="shared" ref="N414:N415" si="469">(+M414+G414)*C414</f>
        <v>66760.848000000013</v>
      </c>
      <c r="O414" s="545">
        <f t="shared" ref="O414:O415" si="470">N414/C414</f>
        <v>113.40000000000002</v>
      </c>
    </row>
    <row r="415" spans="1:16" ht="22" x14ac:dyDescent="0.25">
      <c r="A415" s="570" t="s">
        <v>1384</v>
      </c>
      <c r="B415" s="576" t="s">
        <v>350</v>
      </c>
      <c r="C415" s="672">
        <f>(0.3*2)+(0.255*14)</f>
        <v>4.17</v>
      </c>
      <c r="D415" s="672" t="s">
        <v>298</v>
      </c>
      <c r="E415" s="572">
        <v>100</v>
      </c>
      <c r="F415" s="569">
        <v>10</v>
      </c>
      <c r="G415" s="545">
        <f t="shared" si="464"/>
        <v>110</v>
      </c>
      <c r="H415" s="563">
        <v>12</v>
      </c>
      <c r="I415" s="546">
        <v>8</v>
      </c>
      <c r="J415" s="545">
        <f t="shared" si="465"/>
        <v>20</v>
      </c>
      <c r="K415" s="545">
        <f t="shared" si="466"/>
        <v>22</v>
      </c>
      <c r="L415" s="545">
        <f t="shared" si="467"/>
        <v>6.6000000000000005</v>
      </c>
      <c r="M415" s="545">
        <f t="shared" si="468"/>
        <v>28.6</v>
      </c>
      <c r="N415" s="547">
        <f t="shared" si="469"/>
        <v>577.96199999999999</v>
      </c>
      <c r="O415" s="545">
        <f t="shared" si="470"/>
        <v>138.6</v>
      </c>
    </row>
    <row r="416" spans="1:16" ht="22" x14ac:dyDescent="0.25">
      <c r="A416" s="570" t="s">
        <v>1385</v>
      </c>
      <c r="B416" s="665" t="s">
        <v>1524</v>
      </c>
      <c r="C416" s="672">
        <v>9</v>
      </c>
      <c r="D416" s="672" t="s">
        <v>98</v>
      </c>
      <c r="E416" s="672"/>
      <c r="F416" s="672"/>
      <c r="G416" s="673"/>
      <c r="H416" s="673"/>
      <c r="I416" s="673"/>
      <c r="J416" s="673"/>
      <c r="K416" s="673"/>
      <c r="L416" s="673"/>
      <c r="M416" s="673"/>
      <c r="N416" s="673"/>
      <c r="O416" s="673"/>
    </row>
    <row r="417" spans="1:16" ht="22" x14ac:dyDescent="0.25">
      <c r="A417" s="570" t="s">
        <v>1386</v>
      </c>
      <c r="B417" s="665" t="s">
        <v>1519</v>
      </c>
      <c r="C417" s="672">
        <f>3*2</f>
        <v>6</v>
      </c>
      <c r="D417" s="672" t="s">
        <v>98</v>
      </c>
      <c r="E417" s="596">
        <v>200</v>
      </c>
      <c r="F417" s="524">
        <f t="shared" ref="F417:F419" si="471">E417*0.3</f>
        <v>60</v>
      </c>
      <c r="G417" s="545">
        <f t="shared" ref="G417:G420" si="472">E417+F417</f>
        <v>260</v>
      </c>
      <c r="H417" s="563">
        <v>12</v>
      </c>
      <c r="I417" s="546">
        <v>8</v>
      </c>
      <c r="J417" s="545">
        <f t="shared" ref="J417:J420" si="473">H417+I417</f>
        <v>20</v>
      </c>
      <c r="K417" s="545">
        <f t="shared" ref="K417:K420" si="474">J417%*G417</f>
        <v>52</v>
      </c>
      <c r="L417" s="545">
        <f t="shared" ref="L417:L420" si="475">5%*((G417)+(K417))</f>
        <v>15.600000000000001</v>
      </c>
      <c r="M417" s="545">
        <f t="shared" ref="M417:M420" si="476">K417+L417</f>
        <v>67.599999999999994</v>
      </c>
      <c r="N417" s="547">
        <f t="shared" ref="N417:N420" si="477">(+M417+G417)*C417</f>
        <v>1965.6000000000001</v>
      </c>
      <c r="O417" s="545">
        <f t="shared" ref="O417:O420" si="478">N417/C417</f>
        <v>327.60000000000002</v>
      </c>
    </row>
    <row r="418" spans="1:16" ht="22" x14ac:dyDescent="0.25">
      <c r="A418" s="570" t="s">
        <v>1387</v>
      </c>
      <c r="B418" s="665" t="s">
        <v>1521</v>
      </c>
      <c r="C418" s="672">
        <f>3*2</f>
        <v>6</v>
      </c>
      <c r="D418" s="672" t="s">
        <v>352</v>
      </c>
      <c r="E418" s="575">
        <v>200</v>
      </c>
      <c r="F418" s="524">
        <f t="shared" si="471"/>
        <v>60</v>
      </c>
      <c r="G418" s="545">
        <f t="shared" si="472"/>
        <v>260</v>
      </c>
      <c r="H418" s="563">
        <v>12</v>
      </c>
      <c r="I418" s="546">
        <v>8</v>
      </c>
      <c r="J418" s="545">
        <f t="shared" si="473"/>
        <v>20</v>
      </c>
      <c r="K418" s="545">
        <f t="shared" si="474"/>
        <v>52</v>
      </c>
      <c r="L418" s="545">
        <f t="shared" si="475"/>
        <v>15.600000000000001</v>
      </c>
      <c r="M418" s="545">
        <f t="shared" si="476"/>
        <v>67.599999999999994</v>
      </c>
      <c r="N418" s="547">
        <f t="shared" si="477"/>
        <v>1965.6000000000001</v>
      </c>
      <c r="O418" s="545">
        <f t="shared" si="478"/>
        <v>327.60000000000002</v>
      </c>
    </row>
    <row r="419" spans="1:16" ht="22" x14ac:dyDescent="0.25">
      <c r="A419" s="570" t="s">
        <v>1388</v>
      </c>
      <c r="B419" s="665" t="s">
        <v>930</v>
      </c>
      <c r="C419" s="672">
        <f>1*2</f>
        <v>2</v>
      </c>
      <c r="D419" s="672" t="s">
        <v>352</v>
      </c>
      <c r="E419" s="575">
        <v>135</v>
      </c>
      <c r="F419" s="524">
        <f t="shared" si="471"/>
        <v>40.5</v>
      </c>
      <c r="G419" s="545">
        <f t="shared" si="472"/>
        <v>175.5</v>
      </c>
      <c r="H419" s="563">
        <v>12</v>
      </c>
      <c r="I419" s="546">
        <v>8</v>
      </c>
      <c r="J419" s="545">
        <f t="shared" si="473"/>
        <v>20</v>
      </c>
      <c r="K419" s="545">
        <f t="shared" si="474"/>
        <v>35.1</v>
      </c>
      <c r="L419" s="545">
        <f t="shared" si="475"/>
        <v>10.530000000000001</v>
      </c>
      <c r="M419" s="545">
        <f t="shared" si="476"/>
        <v>45.63</v>
      </c>
      <c r="N419" s="547">
        <f t="shared" si="477"/>
        <v>442.26</v>
      </c>
      <c r="O419" s="545">
        <f t="shared" si="478"/>
        <v>221.13</v>
      </c>
    </row>
    <row r="420" spans="1:16" ht="22" x14ac:dyDescent="0.25">
      <c r="A420" s="570" t="s">
        <v>1389</v>
      </c>
      <c r="B420" s="667" t="s">
        <v>934</v>
      </c>
      <c r="C420" s="672">
        <v>1</v>
      </c>
      <c r="D420" s="672" t="s">
        <v>5</v>
      </c>
      <c r="E420" s="672">
        <f>2500+9400</f>
        <v>11900</v>
      </c>
      <c r="F420" s="670">
        <f t="shared" ref="F420" si="479">E420*0.25</f>
        <v>2975</v>
      </c>
      <c r="G420" s="545">
        <f t="shared" si="472"/>
        <v>14875</v>
      </c>
      <c r="H420" s="563">
        <v>12</v>
      </c>
      <c r="I420" s="546">
        <v>8</v>
      </c>
      <c r="J420" s="545">
        <f t="shared" si="473"/>
        <v>20</v>
      </c>
      <c r="K420" s="545">
        <f t="shared" si="474"/>
        <v>2975</v>
      </c>
      <c r="L420" s="545">
        <f t="shared" si="475"/>
        <v>892.5</v>
      </c>
      <c r="M420" s="545">
        <f t="shared" si="476"/>
        <v>3867.5</v>
      </c>
      <c r="N420" s="547">
        <f t="shared" si="477"/>
        <v>18742.5</v>
      </c>
      <c r="O420" s="545">
        <f t="shared" si="478"/>
        <v>18742.5</v>
      </c>
    </row>
    <row r="421" spans="1:16" ht="21" x14ac:dyDescent="0.25">
      <c r="A421" s="570"/>
      <c r="B421" s="671"/>
      <c r="C421" s="672"/>
      <c r="D421" s="672"/>
      <c r="E421" s="672"/>
      <c r="F421" s="672"/>
      <c r="G421" s="673"/>
      <c r="H421" s="673"/>
      <c r="I421" s="673"/>
      <c r="J421" s="673"/>
      <c r="K421" s="673"/>
      <c r="L421" s="673"/>
      <c r="M421" s="554" t="s">
        <v>343</v>
      </c>
      <c r="N421" s="674">
        <f>SUM(N410:N420)</f>
        <v>126058.59000000001</v>
      </c>
      <c r="O421" s="569"/>
      <c r="P421" s="370">
        <f>N421</f>
        <v>126058.59000000001</v>
      </c>
    </row>
    <row r="422" spans="1:16" ht="21" x14ac:dyDescent="0.25">
      <c r="A422" s="587">
        <f>+A409+0.1</f>
        <v>9.5</v>
      </c>
      <c r="B422" s="688" t="s">
        <v>351</v>
      </c>
      <c r="C422" s="690"/>
      <c r="D422" s="575"/>
      <c r="E422" s="596"/>
      <c r="F422" s="569"/>
      <c r="G422" s="597"/>
      <c r="H422" s="597"/>
      <c r="I422" s="597"/>
      <c r="J422" s="597"/>
      <c r="K422" s="597"/>
      <c r="L422" s="597"/>
      <c r="M422" s="597"/>
      <c r="N422" s="664"/>
      <c r="O422" s="563"/>
    </row>
    <row r="423" spans="1:16" ht="44" x14ac:dyDescent="0.2">
      <c r="A423" s="570" t="s">
        <v>385</v>
      </c>
      <c r="B423" s="610" t="s">
        <v>1509</v>
      </c>
      <c r="C423" s="546">
        <v>1</v>
      </c>
      <c r="D423" s="691" t="s">
        <v>1</v>
      </c>
      <c r="E423" s="569">
        <v>19500</v>
      </c>
      <c r="F423" s="569">
        <v>4000</v>
      </c>
      <c r="G423" s="545">
        <f t="shared" ref="G423:G434" si="480">E423+F423</f>
        <v>23500</v>
      </c>
      <c r="H423" s="563">
        <v>12</v>
      </c>
      <c r="I423" s="546">
        <v>8</v>
      </c>
      <c r="J423" s="545">
        <f t="shared" ref="J423:J434" si="481">H423+I423</f>
        <v>20</v>
      </c>
      <c r="K423" s="545">
        <f t="shared" ref="K423:K434" si="482">J423%*G423</f>
        <v>4700</v>
      </c>
      <c r="L423" s="545">
        <f t="shared" ref="L423:L434" si="483">5%*((G423)+(K423))</f>
        <v>1410</v>
      </c>
      <c r="M423" s="545">
        <f t="shared" ref="M423:M434" si="484">K423+L423</f>
        <v>6110</v>
      </c>
      <c r="N423" s="547">
        <f t="shared" ref="N423:N434" si="485">(+M423+G423)*C423</f>
        <v>29610</v>
      </c>
      <c r="O423" s="545">
        <f t="shared" ref="O423:O434" si="486">N423/C423</f>
        <v>29610</v>
      </c>
    </row>
    <row r="424" spans="1:16" ht="44" x14ac:dyDescent="0.2">
      <c r="A424" s="570" t="s">
        <v>466</v>
      </c>
      <c r="B424" s="610" t="s">
        <v>1510</v>
      </c>
      <c r="C424" s="546">
        <v>1</v>
      </c>
      <c r="D424" s="691" t="s">
        <v>1</v>
      </c>
      <c r="E424" s="569">
        <v>18000</v>
      </c>
      <c r="F424" s="569">
        <v>4000</v>
      </c>
      <c r="G424" s="545">
        <f t="shared" si="480"/>
        <v>22000</v>
      </c>
      <c r="H424" s="563">
        <v>12</v>
      </c>
      <c r="I424" s="546">
        <v>8</v>
      </c>
      <c r="J424" s="545">
        <f t="shared" si="481"/>
        <v>20</v>
      </c>
      <c r="K424" s="545">
        <f t="shared" si="482"/>
        <v>4400</v>
      </c>
      <c r="L424" s="545">
        <f t="shared" si="483"/>
        <v>1320</v>
      </c>
      <c r="M424" s="545">
        <f t="shared" si="484"/>
        <v>5720</v>
      </c>
      <c r="N424" s="547">
        <f t="shared" si="485"/>
        <v>27720</v>
      </c>
      <c r="O424" s="545">
        <f t="shared" si="486"/>
        <v>27720</v>
      </c>
    </row>
    <row r="425" spans="1:16" ht="66" x14ac:dyDescent="0.2">
      <c r="A425" s="570" t="s">
        <v>467</v>
      </c>
      <c r="B425" s="577" t="s">
        <v>1481</v>
      </c>
      <c r="C425" s="546">
        <v>2</v>
      </c>
      <c r="D425" s="542" t="s">
        <v>1</v>
      </c>
      <c r="E425" s="546">
        <v>5000</v>
      </c>
      <c r="F425" s="546">
        <v>1000</v>
      </c>
      <c r="G425" s="545">
        <f t="shared" si="480"/>
        <v>6000</v>
      </c>
      <c r="H425" s="563">
        <v>12</v>
      </c>
      <c r="I425" s="546">
        <v>8</v>
      </c>
      <c r="J425" s="545">
        <f t="shared" si="481"/>
        <v>20</v>
      </c>
      <c r="K425" s="545">
        <f t="shared" si="482"/>
        <v>1200</v>
      </c>
      <c r="L425" s="545">
        <f t="shared" si="483"/>
        <v>360</v>
      </c>
      <c r="M425" s="545">
        <f t="shared" si="484"/>
        <v>1560</v>
      </c>
      <c r="N425" s="547">
        <f t="shared" si="485"/>
        <v>15120</v>
      </c>
      <c r="O425" s="545">
        <f t="shared" si="486"/>
        <v>7560</v>
      </c>
    </row>
    <row r="426" spans="1:16" ht="44" x14ac:dyDescent="0.2">
      <c r="A426" s="570" t="s">
        <v>1390</v>
      </c>
      <c r="B426" s="577" t="s">
        <v>1479</v>
      </c>
      <c r="C426" s="546">
        <v>2</v>
      </c>
      <c r="D426" s="542" t="s">
        <v>1</v>
      </c>
      <c r="E426" s="546">
        <v>5000</v>
      </c>
      <c r="F426" s="546">
        <v>1000</v>
      </c>
      <c r="G426" s="545">
        <f t="shared" si="480"/>
        <v>6000</v>
      </c>
      <c r="H426" s="563">
        <v>12</v>
      </c>
      <c r="I426" s="546">
        <v>8</v>
      </c>
      <c r="J426" s="545">
        <f t="shared" si="481"/>
        <v>20</v>
      </c>
      <c r="K426" s="545">
        <f t="shared" si="482"/>
        <v>1200</v>
      </c>
      <c r="L426" s="545">
        <f t="shared" si="483"/>
        <v>360</v>
      </c>
      <c r="M426" s="545">
        <f t="shared" si="484"/>
        <v>1560</v>
      </c>
      <c r="N426" s="547">
        <f t="shared" si="485"/>
        <v>15120</v>
      </c>
      <c r="O426" s="545">
        <f t="shared" si="486"/>
        <v>7560</v>
      </c>
    </row>
    <row r="427" spans="1:16" ht="66" x14ac:dyDescent="0.2">
      <c r="A427" s="570" t="s">
        <v>1391</v>
      </c>
      <c r="B427" s="692" t="s">
        <v>987</v>
      </c>
      <c r="C427" s="546">
        <v>6</v>
      </c>
      <c r="D427" s="617" t="s">
        <v>1</v>
      </c>
      <c r="E427" s="596">
        <v>8500</v>
      </c>
      <c r="F427" s="569">
        <v>2000</v>
      </c>
      <c r="G427" s="545">
        <f t="shared" si="480"/>
        <v>10500</v>
      </c>
      <c r="H427" s="563">
        <v>12</v>
      </c>
      <c r="I427" s="546">
        <v>8</v>
      </c>
      <c r="J427" s="545">
        <f t="shared" si="481"/>
        <v>20</v>
      </c>
      <c r="K427" s="545">
        <f t="shared" si="482"/>
        <v>2100</v>
      </c>
      <c r="L427" s="545">
        <f t="shared" si="483"/>
        <v>630</v>
      </c>
      <c r="M427" s="545">
        <f t="shared" si="484"/>
        <v>2730</v>
      </c>
      <c r="N427" s="547">
        <f t="shared" si="485"/>
        <v>79380</v>
      </c>
      <c r="O427" s="545">
        <f t="shared" si="486"/>
        <v>13230</v>
      </c>
    </row>
    <row r="428" spans="1:16" ht="66" x14ac:dyDescent="0.2">
      <c r="A428" s="570" t="s">
        <v>1392</v>
      </c>
      <c r="B428" s="692" t="s">
        <v>1480</v>
      </c>
      <c r="C428" s="546">
        <v>2</v>
      </c>
      <c r="D428" s="617" t="s">
        <v>1</v>
      </c>
      <c r="E428" s="616">
        <v>5000</v>
      </c>
      <c r="F428" s="546">
        <v>1500</v>
      </c>
      <c r="G428" s="545">
        <f t="shared" si="480"/>
        <v>6500</v>
      </c>
      <c r="H428" s="563">
        <v>12</v>
      </c>
      <c r="I428" s="546">
        <v>8</v>
      </c>
      <c r="J428" s="545">
        <f t="shared" si="481"/>
        <v>20</v>
      </c>
      <c r="K428" s="545">
        <f t="shared" si="482"/>
        <v>1300</v>
      </c>
      <c r="L428" s="545">
        <f t="shared" si="483"/>
        <v>390</v>
      </c>
      <c r="M428" s="545">
        <f t="shared" si="484"/>
        <v>1690</v>
      </c>
      <c r="N428" s="547">
        <f t="shared" si="485"/>
        <v>16380</v>
      </c>
      <c r="O428" s="545">
        <f t="shared" si="486"/>
        <v>8190</v>
      </c>
    </row>
    <row r="429" spans="1:16" ht="22" x14ac:dyDescent="0.25">
      <c r="A429" s="570" t="s">
        <v>1393</v>
      </c>
      <c r="B429" s="693" t="s">
        <v>977</v>
      </c>
      <c r="C429" s="689">
        <v>5</v>
      </c>
      <c r="D429" s="617" t="s">
        <v>352</v>
      </c>
      <c r="E429" s="596">
        <v>300</v>
      </c>
      <c r="F429" s="544">
        <f t="shared" ref="F429" si="487">+E429*0.25</f>
        <v>75</v>
      </c>
      <c r="G429" s="545">
        <f t="shared" si="480"/>
        <v>375</v>
      </c>
      <c r="H429" s="563">
        <v>12</v>
      </c>
      <c r="I429" s="546">
        <v>8</v>
      </c>
      <c r="J429" s="545">
        <f t="shared" si="481"/>
        <v>20</v>
      </c>
      <c r="K429" s="545">
        <f t="shared" si="482"/>
        <v>75</v>
      </c>
      <c r="L429" s="545">
        <f t="shared" si="483"/>
        <v>22.5</v>
      </c>
      <c r="M429" s="545">
        <f t="shared" si="484"/>
        <v>97.5</v>
      </c>
      <c r="N429" s="547">
        <f t="shared" si="485"/>
        <v>2362.5</v>
      </c>
      <c r="O429" s="545">
        <f t="shared" si="486"/>
        <v>472.5</v>
      </c>
    </row>
    <row r="430" spans="1:16" ht="44" x14ac:dyDescent="0.2">
      <c r="A430" s="570" t="s">
        <v>1394</v>
      </c>
      <c r="B430" s="607" t="s">
        <v>1277</v>
      </c>
      <c r="C430" s="546">
        <v>5</v>
      </c>
      <c r="D430" s="617" t="s">
        <v>1</v>
      </c>
      <c r="E430" s="617">
        <v>2000</v>
      </c>
      <c r="F430" s="542">
        <v>300</v>
      </c>
      <c r="G430" s="545">
        <f t="shared" si="480"/>
        <v>2300</v>
      </c>
      <c r="H430" s="563">
        <v>12</v>
      </c>
      <c r="I430" s="546">
        <v>8</v>
      </c>
      <c r="J430" s="545">
        <f t="shared" si="481"/>
        <v>20</v>
      </c>
      <c r="K430" s="545">
        <f t="shared" si="482"/>
        <v>460</v>
      </c>
      <c r="L430" s="545">
        <f t="shared" si="483"/>
        <v>138</v>
      </c>
      <c r="M430" s="545">
        <f t="shared" si="484"/>
        <v>598</v>
      </c>
      <c r="N430" s="547">
        <f t="shared" si="485"/>
        <v>14490</v>
      </c>
      <c r="O430" s="545">
        <f t="shared" si="486"/>
        <v>2898</v>
      </c>
    </row>
    <row r="431" spans="1:16" ht="22" x14ac:dyDescent="0.25">
      <c r="A431" s="570" t="s">
        <v>1395</v>
      </c>
      <c r="B431" s="693" t="s">
        <v>935</v>
      </c>
      <c r="C431" s="689">
        <v>2</v>
      </c>
      <c r="D431" s="617" t="s">
        <v>1</v>
      </c>
      <c r="E431" s="596">
        <v>500</v>
      </c>
      <c r="F431" s="544">
        <f t="shared" ref="F431:F433" si="488">+E431*0.25</f>
        <v>125</v>
      </c>
      <c r="G431" s="545">
        <f t="shared" si="480"/>
        <v>625</v>
      </c>
      <c r="H431" s="563">
        <v>12</v>
      </c>
      <c r="I431" s="546">
        <v>8</v>
      </c>
      <c r="J431" s="545">
        <f t="shared" si="481"/>
        <v>20</v>
      </c>
      <c r="K431" s="545">
        <f t="shared" si="482"/>
        <v>125</v>
      </c>
      <c r="L431" s="545">
        <f t="shared" si="483"/>
        <v>37.5</v>
      </c>
      <c r="M431" s="545">
        <f t="shared" si="484"/>
        <v>162.5</v>
      </c>
      <c r="N431" s="547">
        <f t="shared" si="485"/>
        <v>1575</v>
      </c>
      <c r="O431" s="545">
        <f t="shared" si="486"/>
        <v>787.5</v>
      </c>
    </row>
    <row r="432" spans="1:16" ht="22" x14ac:dyDescent="0.25">
      <c r="A432" s="570" t="s">
        <v>1396</v>
      </c>
      <c r="B432" s="693" t="s">
        <v>992</v>
      </c>
      <c r="C432" s="689">
        <v>6</v>
      </c>
      <c r="D432" s="617" t="s">
        <v>1</v>
      </c>
      <c r="E432" s="596">
        <v>1500</v>
      </c>
      <c r="F432" s="544">
        <f t="shared" si="488"/>
        <v>375</v>
      </c>
      <c r="G432" s="545">
        <f t="shared" si="480"/>
        <v>1875</v>
      </c>
      <c r="H432" s="563">
        <v>12</v>
      </c>
      <c r="I432" s="546">
        <v>8</v>
      </c>
      <c r="J432" s="545">
        <f t="shared" si="481"/>
        <v>20</v>
      </c>
      <c r="K432" s="545">
        <f t="shared" si="482"/>
        <v>375</v>
      </c>
      <c r="L432" s="545">
        <f t="shared" si="483"/>
        <v>112.5</v>
      </c>
      <c r="M432" s="545">
        <f t="shared" si="484"/>
        <v>487.5</v>
      </c>
      <c r="N432" s="547">
        <f t="shared" si="485"/>
        <v>14175</v>
      </c>
      <c r="O432" s="545">
        <f t="shared" si="486"/>
        <v>2362.5</v>
      </c>
    </row>
    <row r="433" spans="1:16" ht="22" x14ac:dyDescent="0.25">
      <c r="A433" s="570" t="s">
        <v>1397</v>
      </c>
      <c r="B433" s="693" t="s">
        <v>1278</v>
      </c>
      <c r="C433" s="689">
        <v>1</v>
      </c>
      <c r="D433" s="617" t="s">
        <v>1</v>
      </c>
      <c r="E433" s="596">
        <v>2500</v>
      </c>
      <c r="F433" s="544">
        <f t="shared" si="488"/>
        <v>625</v>
      </c>
      <c r="G433" s="545">
        <f t="shared" si="480"/>
        <v>3125</v>
      </c>
      <c r="H433" s="563">
        <v>12</v>
      </c>
      <c r="I433" s="546">
        <v>8</v>
      </c>
      <c r="J433" s="545">
        <f t="shared" si="481"/>
        <v>20</v>
      </c>
      <c r="K433" s="545">
        <f t="shared" si="482"/>
        <v>625</v>
      </c>
      <c r="L433" s="545">
        <f t="shared" si="483"/>
        <v>187.5</v>
      </c>
      <c r="M433" s="545">
        <f t="shared" si="484"/>
        <v>812.5</v>
      </c>
      <c r="N433" s="547">
        <f t="shared" si="485"/>
        <v>3937.5</v>
      </c>
      <c r="O433" s="545">
        <f t="shared" si="486"/>
        <v>3937.5</v>
      </c>
    </row>
    <row r="434" spans="1:16" ht="22" x14ac:dyDescent="0.25">
      <c r="A434" s="570" t="s">
        <v>1398</v>
      </c>
      <c r="B434" s="610" t="s">
        <v>936</v>
      </c>
      <c r="C434" s="689">
        <v>1</v>
      </c>
      <c r="D434" s="542" t="s">
        <v>5</v>
      </c>
      <c r="E434" s="596">
        <v>3000</v>
      </c>
      <c r="F434" s="524">
        <v>125</v>
      </c>
      <c r="G434" s="545">
        <f t="shared" si="480"/>
        <v>3125</v>
      </c>
      <c r="H434" s="563">
        <v>12</v>
      </c>
      <c r="I434" s="546">
        <v>8</v>
      </c>
      <c r="J434" s="545">
        <f t="shared" si="481"/>
        <v>20</v>
      </c>
      <c r="K434" s="545">
        <f t="shared" si="482"/>
        <v>625</v>
      </c>
      <c r="L434" s="545">
        <f t="shared" si="483"/>
        <v>187.5</v>
      </c>
      <c r="M434" s="545">
        <f t="shared" si="484"/>
        <v>812.5</v>
      </c>
      <c r="N434" s="547">
        <f t="shared" si="485"/>
        <v>3937.5</v>
      </c>
      <c r="O434" s="545">
        <f t="shared" si="486"/>
        <v>3937.5</v>
      </c>
    </row>
    <row r="435" spans="1:16" ht="21" x14ac:dyDescent="0.25">
      <c r="A435" s="570"/>
      <c r="B435" s="671"/>
      <c r="C435" s="672"/>
      <c r="D435" s="672"/>
      <c r="E435" s="672"/>
      <c r="F435" s="672"/>
      <c r="G435" s="673"/>
      <c r="H435" s="673"/>
      <c r="I435" s="673"/>
      <c r="J435" s="673"/>
      <c r="K435" s="673"/>
      <c r="L435" s="673"/>
      <c r="M435" s="554" t="s">
        <v>343</v>
      </c>
      <c r="N435" s="674">
        <f>SUM(N423:N434)</f>
        <v>223807.5</v>
      </c>
      <c r="O435" s="694"/>
      <c r="P435" s="370">
        <f>N435</f>
        <v>223807.5</v>
      </c>
    </row>
    <row r="436" spans="1:16" ht="21" x14ac:dyDescent="0.2">
      <c r="A436" s="771" t="s">
        <v>233</v>
      </c>
      <c r="B436" s="772"/>
      <c r="C436" s="773">
        <f>P436</f>
        <v>13459310.662025444</v>
      </c>
      <c r="D436" s="772"/>
      <c r="E436" s="772"/>
      <c r="F436" s="772"/>
      <c r="G436" s="772"/>
      <c r="H436" s="772"/>
      <c r="I436" s="772"/>
      <c r="J436" s="772"/>
      <c r="K436" s="772"/>
      <c r="L436" s="772"/>
      <c r="M436" s="772"/>
      <c r="N436" s="772"/>
      <c r="O436" s="694"/>
      <c r="P436" s="370">
        <f>SUM(P50:P435)</f>
        <v>13459310.662025444</v>
      </c>
    </row>
    <row r="437" spans="1:16" ht="21" x14ac:dyDescent="0.25">
      <c r="A437" s="771" t="s">
        <v>234</v>
      </c>
      <c r="B437" s="772"/>
      <c r="C437" s="774" t="s">
        <v>1525</v>
      </c>
      <c r="D437" s="772"/>
      <c r="E437" s="772"/>
      <c r="F437" s="772"/>
      <c r="G437" s="772"/>
      <c r="H437" s="772"/>
      <c r="I437" s="772"/>
      <c r="J437" s="772"/>
      <c r="K437" s="772"/>
      <c r="L437" s="772"/>
      <c r="M437" s="772"/>
      <c r="N437" s="772"/>
      <c r="O437" s="430"/>
    </row>
    <row r="438" spans="1:16" ht="21" x14ac:dyDescent="0.25">
      <c r="A438" s="519"/>
      <c r="B438" s="431"/>
      <c r="C438" s="432"/>
      <c r="D438" s="431"/>
      <c r="E438" s="431"/>
      <c r="F438" s="431"/>
      <c r="G438" s="431"/>
      <c r="H438" s="431"/>
      <c r="I438" s="431"/>
      <c r="J438" s="431"/>
      <c r="K438" s="431"/>
      <c r="L438" s="431"/>
      <c r="M438" s="431"/>
      <c r="N438" s="431"/>
      <c r="O438" s="247"/>
    </row>
    <row r="439" spans="1:16" ht="21" x14ac:dyDescent="0.25">
      <c r="A439" s="242" t="s">
        <v>207</v>
      </c>
      <c r="B439" s="431"/>
      <c r="C439" s="432"/>
      <c r="D439" s="431"/>
      <c r="E439" s="431"/>
      <c r="F439" s="431"/>
      <c r="G439" s="431"/>
      <c r="H439" s="431"/>
      <c r="I439" s="431"/>
      <c r="J439" s="431"/>
      <c r="K439" s="431"/>
      <c r="L439" s="431"/>
      <c r="M439" s="431"/>
      <c r="N439" s="431"/>
      <c r="O439" s="247"/>
    </row>
    <row r="440" spans="1:16" ht="21" x14ac:dyDescent="0.25">
      <c r="A440" s="519"/>
      <c r="B440" s="431"/>
      <c r="C440" s="432"/>
      <c r="D440" s="431"/>
      <c r="E440" s="431"/>
      <c r="F440" s="431"/>
      <c r="G440" s="431"/>
      <c r="H440" s="431"/>
      <c r="I440" s="431"/>
      <c r="J440" s="431"/>
      <c r="K440" s="431"/>
      <c r="L440" s="431"/>
      <c r="M440" s="431"/>
      <c r="N440" s="431"/>
      <c r="O440" s="247"/>
    </row>
    <row r="441" spans="1:16" ht="21" x14ac:dyDescent="0.25">
      <c r="A441" s="260"/>
      <c r="B441" s="261"/>
      <c r="C441" s="259"/>
      <c r="D441" s="262"/>
      <c r="E441" s="259"/>
      <c r="F441" s="263"/>
      <c r="G441" s="263"/>
      <c r="H441" s="263"/>
      <c r="I441" s="254"/>
      <c r="J441" s="247"/>
      <c r="K441" s="263"/>
      <c r="L441" s="263"/>
      <c r="M441" s="254"/>
      <c r="N441" s="247"/>
      <c r="O441" s="247"/>
    </row>
    <row r="442" spans="1:16" ht="21" x14ac:dyDescent="0.25">
      <c r="A442" s="249" t="s">
        <v>1284</v>
      </c>
      <c r="B442" s="261"/>
      <c r="C442" s="249" t="s">
        <v>1285</v>
      </c>
      <c r="D442" s="262"/>
      <c r="E442" s="259"/>
      <c r="F442" s="247"/>
      <c r="G442" s="248"/>
      <c r="H442" s="263"/>
      <c r="I442" s="248"/>
      <c r="J442" s="263"/>
      <c r="K442" s="247"/>
      <c r="L442" s="247"/>
      <c r="M442" s="247"/>
      <c r="N442" s="247"/>
      <c r="O442" s="247"/>
    </row>
    <row r="443" spans="1:16" ht="21" x14ac:dyDescent="0.25">
      <c r="A443" s="404" t="s">
        <v>985</v>
      </c>
      <c r="B443" s="262"/>
      <c r="C443" s="254" t="s">
        <v>986</v>
      </c>
      <c r="D443" s="262"/>
      <c r="E443" s="259"/>
      <c r="F443" s="247"/>
      <c r="G443" s="248"/>
      <c r="H443" s="263"/>
      <c r="I443" s="263"/>
      <c r="J443" s="247"/>
      <c r="K443" s="247"/>
      <c r="L443" s="247"/>
      <c r="M443" s="247"/>
      <c r="N443" s="247"/>
      <c r="O443" s="247"/>
    </row>
    <row r="444" spans="1:16" ht="21" x14ac:dyDescent="0.25">
      <c r="A444" s="252"/>
      <c r="B444" s="336"/>
      <c r="C444" s="254"/>
      <c r="D444" s="253"/>
      <c r="E444" s="337"/>
      <c r="F444" s="247"/>
      <c r="G444" s="248"/>
      <c r="H444" s="263"/>
      <c r="I444" s="263"/>
      <c r="J444" s="247"/>
      <c r="K444" s="247"/>
      <c r="L444" s="247"/>
      <c r="M444" s="247"/>
      <c r="N444" s="247"/>
      <c r="O444" s="247"/>
    </row>
    <row r="445" spans="1:16" ht="21" x14ac:dyDescent="0.25">
      <c r="A445" s="252"/>
      <c r="B445" s="336"/>
      <c r="C445" s="254"/>
      <c r="D445" s="253"/>
      <c r="E445" s="337"/>
      <c r="F445" s="247"/>
      <c r="G445" s="247"/>
      <c r="H445" s="263"/>
      <c r="I445" s="247"/>
      <c r="J445" s="247"/>
      <c r="K445" s="247"/>
      <c r="L445" s="247"/>
      <c r="M445" s="247"/>
      <c r="N445" s="247"/>
      <c r="O445" s="247"/>
    </row>
    <row r="446" spans="1:16" ht="21" x14ac:dyDescent="0.25">
      <c r="A446" s="242" t="s">
        <v>97</v>
      </c>
      <c r="B446" s="255"/>
      <c r="C446" s="242" t="s">
        <v>1516</v>
      </c>
      <c r="D446" s="257"/>
      <c r="E446" s="246"/>
      <c r="F446" s="247"/>
      <c r="G446" s="247"/>
      <c r="H446" s="263"/>
      <c r="I446" s="247"/>
      <c r="J446" s="247"/>
      <c r="K446" s="247"/>
      <c r="L446" s="247"/>
      <c r="M446" s="247"/>
      <c r="N446" s="247"/>
      <c r="O446" s="247"/>
    </row>
    <row r="447" spans="1:16" ht="21" x14ac:dyDescent="0.25">
      <c r="A447" s="242"/>
      <c r="B447" s="258"/>
      <c r="C447" s="246"/>
      <c r="D447" s="332"/>
      <c r="E447" s="246"/>
      <c r="F447" s="263"/>
      <c r="G447" s="263"/>
      <c r="H447" s="263"/>
      <c r="I447" s="263"/>
      <c r="J447" s="263"/>
      <c r="K447" s="247"/>
      <c r="L447" s="250"/>
      <c r="M447" s="247"/>
      <c r="N447" s="247"/>
      <c r="O447" s="247"/>
    </row>
    <row r="448" spans="1:16" ht="21" x14ac:dyDescent="0.25">
      <c r="A448" s="338"/>
      <c r="B448" s="258"/>
      <c r="C448" s="247"/>
      <c r="D448" s="251"/>
      <c r="E448" s="246"/>
      <c r="F448" s="263"/>
      <c r="G448" s="263"/>
      <c r="H448" s="263"/>
      <c r="I448" s="263"/>
      <c r="J448" s="263"/>
      <c r="K448" s="247"/>
      <c r="L448" s="254"/>
      <c r="M448" s="247"/>
      <c r="N448" s="247"/>
      <c r="O448" s="247"/>
    </row>
    <row r="449" spans="1:15" ht="21" x14ac:dyDescent="0.25">
      <c r="A449" s="249" t="s">
        <v>1213</v>
      </c>
      <c r="B449" s="251"/>
      <c r="C449" s="250" t="s">
        <v>374</v>
      </c>
      <c r="D449" s="263"/>
      <c r="E449" s="247"/>
      <c r="F449" s="254"/>
      <c r="G449" s="247"/>
      <c r="H449" s="263"/>
      <c r="I449" s="247"/>
      <c r="J449" s="247"/>
      <c r="K449" s="247"/>
      <c r="L449" s="247"/>
      <c r="M449" s="247"/>
      <c r="N449" s="247"/>
      <c r="O449" s="247"/>
    </row>
    <row r="450" spans="1:15" ht="21" x14ac:dyDescent="0.25">
      <c r="A450" s="252" t="s">
        <v>1515</v>
      </c>
      <c r="B450" s="251"/>
      <c r="C450" s="254" t="s">
        <v>1210</v>
      </c>
      <c r="D450" s="263"/>
      <c r="E450" s="247"/>
      <c r="F450" s="247"/>
      <c r="G450" s="247"/>
      <c r="H450" s="246"/>
      <c r="I450" s="247"/>
      <c r="J450" s="247"/>
      <c r="K450" s="247"/>
      <c r="L450" s="247"/>
      <c r="M450" s="247"/>
      <c r="N450" s="247"/>
      <c r="O450" s="247"/>
    </row>
    <row r="451" spans="1:15" ht="21" x14ac:dyDescent="0.25">
      <c r="A451" s="242"/>
      <c r="B451" s="261"/>
      <c r="C451" s="259"/>
      <c r="D451" s="262"/>
      <c r="E451" s="341"/>
      <c r="F451" s="247"/>
      <c r="G451" s="247"/>
      <c r="H451" s="247"/>
      <c r="I451" s="247"/>
      <c r="J451" s="247"/>
      <c r="K451" s="247"/>
      <c r="L451" s="247"/>
      <c r="M451" s="247"/>
      <c r="N451" s="247"/>
      <c r="O451" s="247"/>
    </row>
    <row r="452" spans="1:15" ht="21" x14ac:dyDescent="0.25">
      <c r="A452" s="242"/>
      <c r="B452" s="258"/>
      <c r="C452" s="254"/>
      <c r="D452" s="251"/>
      <c r="E452" s="246"/>
      <c r="F452" s="247"/>
      <c r="G452" s="247"/>
      <c r="H452" s="247"/>
      <c r="I452" s="247"/>
      <c r="J452" s="247"/>
      <c r="K452" s="247"/>
      <c r="L452" s="247"/>
      <c r="M452" s="247"/>
      <c r="N452" s="247"/>
      <c r="O452" s="247"/>
    </row>
    <row r="453" spans="1:15" ht="21" x14ac:dyDescent="0.25">
      <c r="A453" s="260"/>
      <c r="B453" s="258"/>
      <c r="C453" s="259"/>
      <c r="D453" s="251"/>
      <c r="E453" s="246"/>
      <c r="F453" s="247"/>
      <c r="G453" s="247"/>
      <c r="H453" s="247"/>
      <c r="I453" s="247"/>
      <c r="J453" s="247"/>
      <c r="K453" s="247"/>
      <c r="L453" s="247"/>
      <c r="M453" s="247"/>
      <c r="N453" s="247"/>
      <c r="O453" s="247"/>
    </row>
    <row r="454" spans="1:15" ht="21" x14ac:dyDescent="0.25">
      <c r="A454" s="242" t="s">
        <v>10</v>
      </c>
      <c r="B454" s="258"/>
      <c r="C454" s="242" t="s">
        <v>270</v>
      </c>
      <c r="D454" s="251"/>
      <c r="E454" s="246"/>
      <c r="F454" s="247"/>
      <c r="G454" s="247"/>
      <c r="H454" s="263"/>
      <c r="I454" s="247"/>
      <c r="J454" s="247"/>
      <c r="K454" s="247"/>
      <c r="L454" s="247"/>
      <c r="M454" s="247"/>
      <c r="N454" s="247"/>
      <c r="O454" s="247"/>
    </row>
    <row r="455" spans="1:15" ht="21" x14ac:dyDescent="0.25">
      <c r="A455" s="342"/>
      <c r="B455" s="258"/>
      <c r="C455" s="242"/>
      <c r="D455" s="251"/>
      <c r="E455" s="246"/>
      <c r="F455" s="247"/>
      <c r="G455" s="247"/>
      <c r="H455" s="263"/>
      <c r="I455" s="247"/>
      <c r="J455" s="247"/>
      <c r="K455" s="247"/>
      <c r="L455" s="247"/>
      <c r="M455" s="247"/>
      <c r="N455" s="247"/>
      <c r="O455" s="247"/>
    </row>
    <row r="456" spans="1:15" ht="21" x14ac:dyDescent="0.25">
      <c r="A456" s="342"/>
      <c r="B456" s="258"/>
      <c r="C456" s="242"/>
      <c r="D456" s="251"/>
      <c r="E456" s="246"/>
      <c r="F456" s="247"/>
      <c r="G456" s="247"/>
      <c r="H456" s="247"/>
      <c r="I456" s="247"/>
      <c r="J456" s="247"/>
      <c r="K456" s="247"/>
      <c r="L456" s="247"/>
      <c r="M456" s="247"/>
      <c r="N456" s="247"/>
      <c r="O456" s="247"/>
    </row>
    <row r="457" spans="1:15" ht="21" x14ac:dyDescent="0.25">
      <c r="A457" s="250" t="s">
        <v>1212</v>
      </c>
      <c r="B457" s="258"/>
      <c r="C457" s="249" t="s">
        <v>376</v>
      </c>
      <c r="D457" s="247"/>
      <c r="E457" s="247"/>
      <c r="F457" s="247"/>
      <c r="G457" s="247"/>
      <c r="H457" s="247"/>
      <c r="I457" s="247"/>
      <c r="J457" s="247"/>
      <c r="K457" s="247"/>
      <c r="L457" s="247"/>
      <c r="M457" s="247"/>
      <c r="N457" s="247"/>
      <c r="O457" s="247"/>
    </row>
    <row r="458" spans="1:15" ht="21" x14ac:dyDescent="0.25">
      <c r="A458" s="254" t="s">
        <v>294</v>
      </c>
      <c r="B458" s="258"/>
      <c r="C458" s="252" t="s">
        <v>377</v>
      </c>
      <c r="D458" s="247"/>
      <c r="E458" s="247"/>
      <c r="F458" s="259"/>
      <c r="G458" s="247"/>
      <c r="H458" s="247"/>
      <c r="I458" s="247"/>
      <c r="J458" s="247"/>
      <c r="K458" s="247"/>
      <c r="L458" s="247"/>
      <c r="M458" s="247"/>
      <c r="N458" s="247"/>
      <c r="O458" s="247"/>
    </row>
    <row r="459" spans="1:15" ht="21" x14ac:dyDescent="0.25">
      <c r="A459" s="342"/>
      <c r="B459" s="258"/>
      <c r="C459" s="246"/>
      <c r="D459" s="251"/>
      <c r="E459" s="246"/>
      <c r="F459" s="259"/>
      <c r="G459" s="247"/>
      <c r="H459" s="247"/>
      <c r="I459" s="247"/>
      <c r="J459" s="247"/>
      <c r="K459" s="247"/>
      <c r="L459" s="247"/>
      <c r="M459" s="247"/>
      <c r="N459" s="247"/>
      <c r="O459" s="247"/>
    </row>
    <row r="460" spans="1:15" ht="21" x14ac:dyDescent="0.25">
      <c r="A460" s="260"/>
      <c r="B460" s="261"/>
      <c r="C460" s="259"/>
      <c r="D460" s="262"/>
      <c r="E460" s="259"/>
      <c r="F460" s="259"/>
      <c r="G460" s="247"/>
      <c r="H460" s="247"/>
      <c r="I460" s="247"/>
      <c r="J460" s="247"/>
      <c r="K460" s="247"/>
      <c r="L460" s="247"/>
      <c r="M460" s="247"/>
      <c r="N460" s="247"/>
      <c r="O460" s="263"/>
    </row>
    <row r="461" spans="1:15" ht="21" x14ac:dyDescent="0.25">
      <c r="A461" s="247" t="s">
        <v>11</v>
      </c>
      <c r="B461" s="261"/>
      <c r="C461" s="259"/>
      <c r="D461" s="262"/>
      <c r="E461" s="259"/>
      <c r="F461" s="263"/>
      <c r="G461" s="263"/>
      <c r="H461" s="263"/>
      <c r="I461" s="263"/>
      <c r="J461" s="263"/>
      <c r="K461" s="263"/>
      <c r="L461" s="263"/>
      <c r="M461" s="263"/>
      <c r="N461" s="263"/>
      <c r="O461" s="263"/>
    </row>
    <row r="462" spans="1:15" ht="21" x14ac:dyDescent="0.25">
      <c r="A462" s="247"/>
      <c r="B462" s="261"/>
      <c r="C462" s="259"/>
      <c r="D462" s="262"/>
      <c r="E462" s="259"/>
      <c r="F462" s="263"/>
      <c r="G462" s="263"/>
      <c r="H462" s="263"/>
      <c r="I462" s="263"/>
      <c r="J462" s="263"/>
      <c r="K462" s="263"/>
      <c r="L462" s="263"/>
      <c r="M462" s="263"/>
      <c r="N462" s="263"/>
      <c r="O462" s="263"/>
    </row>
    <row r="463" spans="1:15" ht="21" x14ac:dyDescent="0.25">
      <c r="A463" s="247"/>
      <c r="B463" s="261"/>
      <c r="C463" s="259"/>
      <c r="D463" s="262"/>
      <c r="E463" s="259"/>
      <c r="F463" s="259"/>
      <c r="G463" s="263"/>
      <c r="H463" s="263"/>
      <c r="I463" s="263"/>
      <c r="J463" s="263"/>
      <c r="K463" s="263"/>
      <c r="L463" s="263"/>
      <c r="M463" s="263"/>
      <c r="N463" s="263"/>
      <c r="O463" s="263"/>
    </row>
    <row r="464" spans="1:15" ht="21" x14ac:dyDescent="0.25">
      <c r="A464" s="264" t="s">
        <v>1211</v>
      </c>
      <c r="B464" s="261"/>
      <c r="C464" s="259"/>
      <c r="D464" s="262"/>
      <c r="E464" s="259"/>
      <c r="F464" s="259"/>
      <c r="G464" s="263"/>
      <c r="H464" s="263"/>
      <c r="I464" s="263"/>
      <c r="J464" s="263"/>
      <c r="K464" s="263"/>
      <c r="L464" s="263"/>
      <c r="M464" s="263"/>
      <c r="N464" s="263"/>
      <c r="O464" s="263"/>
    </row>
    <row r="465" spans="1:15" ht="21" x14ac:dyDescent="0.25">
      <c r="A465" s="254" t="s">
        <v>16</v>
      </c>
      <c r="B465" s="261"/>
      <c r="C465" s="259"/>
      <c r="D465" s="262"/>
      <c r="E465" s="259"/>
      <c r="F465" s="259"/>
      <c r="G465" s="263"/>
      <c r="H465" s="263"/>
      <c r="I465" s="263"/>
      <c r="J465" s="263"/>
      <c r="K465" s="263"/>
      <c r="L465" s="263"/>
      <c r="M465" s="263"/>
      <c r="N465" s="263"/>
      <c r="O465" s="263"/>
    </row>
    <row r="466" spans="1:15" ht="21" x14ac:dyDescent="0.25">
      <c r="A466" s="260"/>
      <c r="B466" s="261"/>
      <c r="C466" s="259"/>
      <c r="D466" s="262"/>
      <c r="E466" s="259"/>
      <c r="F466" s="259"/>
      <c r="G466" s="263"/>
      <c r="H466" s="263"/>
      <c r="I466" s="263"/>
      <c r="J466" s="263"/>
      <c r="K466" s="263"/>
      <c r="L466" s="263"/>
      <c r="M466" s="263"/>
      <c r="N466" s="263"/>
      <c r="O466" s="263"/>
    </row>
    <row r="467" spans="1:15" ht="21" x14ac:dyDescent="0.25">
      <c r="B467" s="261"/>
      <c r="C467" s="259"/>
      <c r="D467" s="262"/>
      <c r="E467" s="259"/>
      <c r="F467" s="259"/>
      <c r="G467" s="263"/>
      <c r="H467" s="263"/>
      <c r="I467" s="263"/>
      <c r="J467" s="263"/>
    </row>
    <row r="468" spans="1:15" ht="21" x14ac:dyDescent="0.25">
      <c r="B468" s="261"/>
      <c r="C468" s="259"/>
      <c r="D468" s="262"/>
      <c r="E468" s="259"/>
      <c r="F468" s="259"/>
      <c r="G468" s="263"/>
      <c r="H468" s="263"/>
      <c r="I468" s="263"/>
      <c r="J468" s="263"/>
    </row>
    <row r="469" spans="1:15" ht="21" x14ac:dyDescent="0.25">
      <c r="B469" s="261"/>
      <c r="C469" s="259"/>
      <c r="D469" s="262"/>
      <c r="E469" s="259"/>
      <c r="F469" s="259"/>
      <c r="G469" s="263"/>
      <c r="H469" s="263"/>
      <c r="I469" s="263"/>
      <c r="J469" s="263"/>
    </row>
    <row r="470" spans="1:15" ht="21" x14ac:dyDescent="0.25">
      <c r="B470" s="261"/>
      <c r="C470" s="259"/>
      <c r="D470" s="262"/>
      <c r="E470" s="259"/>
      <c r="F470" s="259"/>
      <c r="G470" s="263"/>
      <c r="H470" s="263"/>
      <c r="I470" s="263"/>
      <c r="J470" s="263"/>
    </row>
  </sheetData>
  <mergeCells count="22">
    <mergeCell ref="E18:E19"/>
    <mergeCell ref="H2:I2"/>
    <mergeCell ref="H3:I3"/>
    <mergeCell ref="G4:J4"/>
    <mergeCell ref="G5:J5"/>
    <mergeCell ref="G6:J6"/>
    <mergeCell ref="N18:N19"/>
    <mergeCell ref="O18:O19"/>
    <mergeCell ref="A436:B436"/>
    <mergeCell ref="C436:N436"/>
    <mergeCell ref="A437:B437"/>
    <mergeCell ref="C437:N437"/>
    <mergeCell ref="F18:F19"/>
    <mergeCell ref="G18:G43"/>
    <mergeCell ref="H18:I18"/>
    <mergeCell ref="J18:K18"/>
    <mergeCell ref="L18:L19"/>
    <mergeCell ref="M18:M19"/>
    <mergeCell ref="A18:A45"/>
    <mergeCell ref="B18:B45"/>
    <mergeCell ref="C18:C19"/>
    <mergeCell ref="D18:D19"/>
  </mergeCells>
  <phoneticPr fontId="59" type="noConversion"/>
  <printOptions horizontalCentered="1"/>
  <pageMargins left="0.31496062992125984" right="0.31496062992125984" top="0.78740157480314965" bottom="0.78740157480314965" header="0.31496062992125984" footer="0.31496062992125984"/>
  <pageSetup paperSize="9" scale="31" fitToHeight="0" orientation="landscape" r:id="rId1"/>
  <headerFooter>
    <oddFooter>&amp;L&amp;12Project: Refurbishment of Amphitheater
Location: Lucinda Extension Campus, Tarlac State University
Duration: 180 Calendar Days&amp;C&amp;12Page &amp;P of &amp;[7</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1AE40-B45F-428E-B078-524DAC1763F0}">
  <sheetPr codeName="Sheet6"/>
  <dimension ref="A1:F52"/>
  <sheetViews>
    <sheetView view="pageBreakPreview" topLeftCell="A2" zoomScale="90" zoomScaleNormal="100" zoomScaleSheetLayoutView="90" workbookViewId="0">
      <selection activeCell="A5" sqref="A5"/>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938">
        <v>6</v>
      </c>
      <c r="B9" s="936" t="s">
        <v>392</v>
      </c>
      <c r="C9" s="937"/>
      <c r="D9" s="937"/>
      <c r="E9" s="937"/>
      <c r="F9" s="937"/>
    </row>
    <row r="10" spans="1:6" ht="17" x14ac:dyDescent="0.15">
      <c r="A10" s="769">
        <v>6.5</v>
      </c>
      <c r="B10" s="753" t="s">
        <v>351</v>
      </c>
      <c r="C10" s="940">
        <v>1</v>
      </c>
      <c r="D10" s="939"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5"/>
  <dimension ref="A1:G42"/>
  <sheetViews>
    <sheetView topLeftCell="A25" workbookViewId="0">
      <selection activeCell="G40" sqref="G40"/>
    </sheetView>
  </sheetViews>
  <sheetFormatPr baseColWidth="10" defaultColWidth="8.83203125" defaultRowHeight="13" x14ac:dyDescent="0.15"/>
  <sheetData>
    <row r="1" spans="1:3" x14ac:dyDescent="0.15">
      <c r="A1" t="s">
        <v>307</v>
      </c>
    </row>
    <row r="3" spans="1:3" x14ac:dyDescent="0.15">
      <c r="A3" t="s">
        <v>303</v>
      </c>
      <c r="B3">
        <v>0.8</v>
      </c>
      <c r="C3" t="s">
        <v>299</v>
      </c>
    </row>
    <row r="4" spans="1:3" x14ac:dyDescent="0.15">
      <c r="A4" t="s">
        <v>304</v>
      </c>
      <c r="B4">
        <v>1.6</v>
      </c>
      <c r="C4" t="s">
        <v>299</v>
      </c>
    </row>
    <row r="5" spans="1:3" x14ac:dyDescent="0.15">
      <c r="B5">
        <f>SUM(B3:B4)</f>
        <v>2.4000000000000004</v>
      </c>
      <c r="C5" t="s">
        <v>299</v>
      </c>
    </row>
    <row r="7" spans="1:3" x14ac:dyDescent="0.15">
      <c r="A7" t="s">
        <v>300</v>
      </c>
    </row>
    <row r="9" spans="1:3" x14ac:dyDescent="0.15">
      <c r="A9" t="s">
        <v>301</v>
      </c>
      <c r="B9">
        <v>12</v>
      </c>
      <c r="C9" t="s">
        <v>299</v>
      </c>
    </row>
    <row r="10" spans="1:3" x14ac:dyDescent="0.15">
      <c r="A10" t="s">
        <v>302</v>
      </c>
      <c r="B10">
        <v>24</v>
      </c>
      <c r="C10" t="s">
        <v>299</v>
      </c>
    </row>
    <row r="11" spans="1:3" x14ac:dyDescent="0.15">
      <c r="B11">
        <f>SUM(B9:B10)</f>
        <v>36</v>
      </c>
      <c r="C11" t="s">
        <v>299</v>
      </c>
    </row>
    <row r="13" spans="1:3" x14ac:dyDescent="0.15">
      <c r="A13" t="s">
        <v>295</v>
      </c>
    </row>
    <row r="15" spans="1:3" x14ac:dyDescent="0.15">
      <c r="A15" t="s">
        <v>303</v>
      </c>
      <c r="B15">
        <v>2</v>
      </c>
      <c r="C15" t="s">
        <v>299</v>
      </c>
    </row>
    <row r="16" spans="1:3" x14ac:dyDescent="0.15">
      <c r="A16" t="s">
        <v>304</v>
      </c>
      <c r="B16">
        <v>4</v>
      </c>
      <c r="C16" t="s">
        <v>299</v>
      </c>
    </row>
    <row r="17" spans="1:7" x14ac:dyDescent="0.15">
      <c r="B17">
        <f>SUM(B15:B16)</f>
        <v>6</v>
      </c>
    </row>
    <row r="18" spans="1:7" x14ac:dyDescent="0.15">
      <c r="A18" t="s">
        <v>305</v>
      </c>
      <c r="B18">
        <v>0.8</v>
      </c>
      <c r="C18" t="s">
        <v>299</v>
      </c>
    </row>
    <row r="19" spans="1:7" x14ac:dyDescent="0.15">
      <c r="A19" t="s">
        <v>306</v>
      </c>
      <c r="B19">
        <v>1.3</v>
      </c>
    </row>
    <row r="20" spans="1:7" x14ac:dyDescent="0.15">
      <c r="B20">
        <f>SUM(B18:B19)</f>
        <v>2.1</v>
      </c>
    </row>
    <row r="22" spans="1:7" x14ac:dyDescent="0.15">
      <c r="A22" t="s">
        <v>297</v>
      </c>
    </row>
    <row r="24" spans="1:7" x14ac:dyDescent="0.15">
      <c r="A24" s="61" t="s">
        <v>296</v>
      </c>
      <c r="D24" s="61" t="s">
        <v>312</v>
      </c>
    </row>
    <row r="25" spans="1:7" x14ac:dyDescent="0.15">
      <c r="A25" s="61" t="s">
        <v>308</v>
      </c>
      <c r="B25">
        <v>55</v>
      </c>
      <c r="C25" t="s">
        <v>197</v>
      </c>
      <c r="D25">
        <v>520.85</v>
      </c>
      <c r="E25" s="61" t="s">
        <v>298</v>
      </c>
    </row>
    <row r="26" spans="1:7" x14ac:dyDescent="0.15">
      <c r="A26" s="61"/>
    </row>
    <row r="27" spans="1:7" x14ac:dyDescent="0.15">
      <c r="A27" s="61" t="s">
        <v>309</v>
      </c>
      <c r="F27" s="61" t="s">
        <v>60</v>
      </c>
    </row>
    <row r="28" spans="1:7" x14ac:dyDescent="0.15">
      <c r="A28" s="61" t="s">
        <v>308</v>
      </c>
      <c r="B28">
        <v>7</v>
      </c>
      <c r="C28" s="61" t="s">
        <v>197</v>
      </c>
      <c r="D28">
        <v>66.290000000000006</v>
      </c>
      <c r="E28" s="61" t="s">
        <v>298</v>
      </c>
      <c r="F28" s="97">
        <f>1.1*D28</f>
        <v>72.919000000000011</v>
      </c>
      <c r="G28" s="61" t="s">
        <v>298</v>
      </c>
    </row>
    <row r="29" spans="1:7" x14ac:dyDescent="0.15">
      <c r="A29" s="61" t="s">
        <v>311</v>
      </c>
      <c r="B29">
        <v>21</v>
      </c>
      <c r="C29" s="61" t="s">
        <v>197</v>
      </c>
      <c r="D29">
        <v>111.93</v>
      </c>
      <c r="E29" s="61" t="s">
        <v>298</v>
      </c>
      <c r="F29" s="97">
        <f>1.1*D29</f>
        <v>123.12300000000002</v>
      </c>
      <c r="G29" s="61" t="s">
        <v>298</v>
      </c>
    </row>
    <row r="30" spans="1:7" x14ac:dyDescent="0.15">
      <c r="A30" s="61" t="s">
        <v>310</v>
      </c>
      <c r="B30">
        <v>72</v>
      </c>
      <c r="C30" s="61" t="s">
        <v>197</v>
      </c>
      <c r="D30">
        <v>266.39999999999998</v>
      </c>
      <c r="E30" s="61" t="s">
        <v>298</v>
      </c>
      <c r="F30" s="97">
        <f>1.1*D30</f>
        <v>293.04000000000002</v>
      </c>
      <c r="G30" s="61" t="s">
        <v>298</v>
      </c>
    </row>
    <row r="31" spans="1:7" x14ac:dyDescent="0.15">
      <c r="D31">
        <f>SUM(D28:D30)</f>
        <v>444.62</v>
      </c>
      <c r="E31" s="61" t="s">
        <v>298</v>
      </c>
    </row>
    <row r="33" spans="1:5" x14ac:dyDescent="0.15">
      <c r="A33" s="61" t="s">
        <v>313</v>
      </c>
    </row>
    <row r="36" spans="1:5" x14ac:dyDescent="0.15">
      <c r="A36" s="61"/>
      <c r="C36" s="61"/>
    </row>
    <row r="37" spans="1:5" x14ac:dyDescent="0.15">
      <c r="A37" s="61" t="s">
        <v>323</v>
      </c>
      <c r="C37" s="61"/>
      <c r="D37" s="61" t="s">
        <v>325</v>
      </c>
      <c r="E37" s="61"/>
    </row>
    <row r="38" spans="1:5" x14ac:dyDescent="0.15">
      <c r="A38" s="61" t="s">
        <v>314</v>
      </c>
      <c r="C38" s="61" t="s">
        <v>315</v>
      </c>
      <c r="D38" s="61" t="s">
        <v>316</v>
      </c>
    </row>
    <row r="39" spans="1:5" x14ac:dyDescent="0.15">
      <c r="A39" s="61" t="s">
        <v>317</v>
      </c>
      <c r="C39" s="61" t="s">
        <v>318</v>
      </c>
      <c r="D39" s="61" t="s">
        <v>319</v>
      </c>
    </row>
    <row r="40" spans="1:5" x14ac:dyDescent="0.15">
      <c r="A40" s="61" t="s">
        <v>320</v>
      </c>
      <c r="C40" s="61" t="s">
        <v>321</v>
      </c>
      <c r="D40" s="61" t="s">
        <v>322</v>
      </c>
    </row>
    <row r="42" spans="1:5" x14ac:dyDescent="0.15">
      <c r="A42" s="61" t="s">
        <v>324</v>
      </c>
      <c r="D42" s="61" t="s">
        <v>326</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6"/>
  <dimension ref="A1:AB134"/>
  <sheetViews>
    <sheetView showGridLines="0" view="pageBreakPreview" topLeftCell="A80" zoomScale="70" zoomScaleNormal="70" zoomScaleSheetLayoutView="70" zoomScalePageLayoutView="55" workbookViewId="0">
      <selection activeCell="L93" sqref="L93"/>
    </sheetView>
  </sheetViews>
  <sheetFormatPr baseColWidth="10" defaultColWidth="9.1640625" defaultRowHeight="19" x14ac:dyDescent="0.25"/>
  <cols>
    <col min="1" max="1" width="12.5" style="3" customWidth="1"/>
    <col min="2" max="2" width="13" style="3" customWidth="1"/>
    <col min="3" max="3" width="85.1640625" style="2" customWidth="1"/>
    <col min="4" max="4" width="13" style="3" customWidth="1"/>
    <col min="5" max="5" width="12" style="3" customWidth="1"/>
    <col min="6" max="6" width="19.33203125" style="4" customWidth="1"/>
    <col min="7" max="7" width="18.83203125" style="4" hidden="1" customWidth="1"/>
    <col min="8" max="8" width="18.6640625" style="4" hidden="1" customWidth="1"/>
    <col min="9" max="9" width="28.5" style="4" customWidth="1"/>
    <col min="10" max="10" width="14.33203125" style="2" bestFit="1" customWidth="1"/>
    <col min="11" max="11" width="21.5" style="2" customWidth="1"/>
    <col min="12" max="12" width="9.1640625" style="2"/>
    <col min="13" max="13" width="16.5" style="2" bestFit="1" customWidth="1"/>
    <col min="14" max="14" width="14.33203125" style="2" bestFit="1" customWidth="1"/>
    <col min="15" max="27" width="9.1640625" style="2"/>
    <col min="28" max="28" width="18.5" style="2" bestFit="1" customWidth="1"/>
    <col min="29" max="16384" width="9.1640625" style="2"/>
  </cols>
  <sheetData>
    <row r="1" spans="1:11" x14ac:dyDescent="0.25">
      <c r="A1" s="46" t="s">
        <v>6</v>
      </c>
      <c r="B1" s="10" t="s">
        <v>217</v>
      </c>
      <c r="C1" s="11"/>
      <c r="D1" s="12"/>
      <c r="E1" s="12"/>
      <c r="F1" s="13"/>
      <c r="G1" s="13" t="s">
        <v>188</v>
      </c>
      <c r="H1" s="13"/>
      <c r="I1" s="13"/>
    </row>
    <row r="2" spans="1:11" x14ac:dyDescent="0.25">
      <c r="A2" s="46" t="s">
        <v>8</v>
      </c>
      <c r="B2" s="10" t="s">
        <v>9</v>
      </c>
      <c r="C2" s="11"/>
      <c r="D2" s="12"/>
      <c r="E2" s="12"/>
      <c r="F2" s="13"/>
      <c r="G2" s="13" t="s">
        <v>189</v>
      </c>
      <c r="H2" s="13" t="s">
        <v>190</v>
      </c>
      <c r="I2" s="13"/>
    </row>
    <row r="3" spans="1:11" hidden="1" x14ac:dyDescent="0.25">
      <c r="A3" s="46" t="s">
        <v>95</v>
      </c>
      <c r="B3" s="10" t="s">
        <v>96</v>
      </c>
      <c r="C3" s="11"/>
      <c r="D3" s="12"/>
      <c r="E3" s="12"/>
      <c r="F3" s="13"/>
      <c r="G3" s="13"/>
      <c r="H3" s="13"/>
      <c r="I3" s="13"/>
    </row>
    <row r="4" spans="1:11" x14ac:dyDescent="0.25">
      <c r="A4" s="46" t="s">
        <v>137</v>
      </c>
      <c r="B4" s="10" t="s">
        <v>218</v>
      </c>
      <c r="C4" s="11"/>
      <c r="D4" s="12"/>
      <c r="E4" s="12"/>
      <c r="F4" s="13"/>
      <c r="G4" s="13"/>
      <c r="H4" s="13"/>
      <c r="I4" s="13"/>
    </row>
    <row r="5" spans="1:11" x14ac:dyDescent="0.25">
      <c r="A5" s="10"/>
      <c r="B5" s="10"/>
      <c r="C5" s="14"/>
      <c r="D5" s="12"/>
      <c r="E5" s="12"/>
      <c r="F5" s="13"/>
      <c r="G5" s="13"/>
      <c r="H5" s="13"/>
      <c r="I5" s="13"/>
    </row>
    <row r="7" spans="1:11" s="5" customFormat="1" ht="18.75" customHeight="1" x14ac:dyDescent="0.15">
      <c r="A7" s="871" t="s">
        <v>138</v>
      </c>
      <c r="B7" s="871"/>
      <c r="C7" s="872" t="s">
        <v>19</v>
      </c>
      <c r="D7" s="872" t="s">
        <v>2</v>
      </c>
      <c r="E7" s="872" t="s">
        <v>0</v>
      </c>
      <c r="F7" s="865" t="s">
        <v>139</v>
      </c>
      <c r="G7" s="865" t="s">
        <v>140</v>
      </c>
      <c r="H7" s="865" t="s">
        <v>4</v>
      </c>
      <c r="I7" s="865" t="s">
        <v>193</v>
      </c>
    </row>
    <row r="8" spans="1:11" s="5" customFormat="1" ht="23.25" customHeight="1" x14ac:dyDescent="0.15">
      <c r="A8" s="871"/>
      <c r="B8" s="871"/>
      <c r="C8" s="872"/>
      <c r="D8" s="872"/>
      <c r="E8" s="872"/>
      <c r="F8" s="865"/>
      <c r="G8" s="865"/>
      <c r="H8" s="865"/>
      <c r="I8" s="865"/>
    </row>
    <row r="9" spans="1:11" s="5" customFormat="1" ht="23.25" hidden="1" customHeight="1" x14ac:dyDescent="0.15">
      <c r="A9" s="84">
        <v>1</v>
      </c>
      <c r="B9" s="68"/>
      <c r="C9" s="66" t="s">
        <v>142</v>
      </c>
      <c r="D9" s="85"/>
      <c r="E9" s="85"/>
      <c r="F9" s="83"/>
      <c r="G9" s="83"/>
      <c r="H9" s="83"/>
      <c r="I9" s="83"/>
      <c r="K9" s="72"/>
    </row>
    <row r="10" spans="1:11" ht="20" hidden="1" x14ac:dyDescent="0.25">
      <c r="A10" s="1"/>
      <c r="B10" s="68">
        <f>1+0.01</f>
        <v>1.01</v>
      </c>
      <c r="C10" s="53" t="s">
        <v>169</v>
      </c>
      <c r="D10" s="1">
        <v>1</v>
      </c>
      <c r="E10" s="1" t="s">
        <v>18</v>
      </c>
      <c r="F10" s="54">
        <v>15000</v>
      </c>
      <c r="G10" s="54" t="s">
        <v>177</v>
      </c>
      <c r="H10" s="54"/>
      <c r="I10" s="69"/>
    </row>
    <row r="11" spans="1:11" ht="20" hidden="1" x14ac:dyDescent="0.25">
      <c r="A11" s="1"/>
      <c r="B11" s="68">
        <f>B10+0.01</f>
        <v>1.02</v>
      </c>
      <c r="C11" s="53" t="s">
        <v>170</v>
      </c>
      <c r="D11" s="1">
        <v>1</v>
      </c>
      <c r="E11" s="1" t="s">
        <v>18</v>
      </c>
      <c r="F11" s="54">
        <v>4500</v>
      </c>
      <c r="G11" s="54"/>
      <c r="H11" s="54"/>
      <c r="I11" s="69"/>
    </row>
    <row r="12" spans="1:11" s="5" customFormat="1" ht="23.25" hidden="1" customHeight="1" x14ac:dyDescent="0.15">
      <c r="A12" s="68"/>
      <c r="B12" s="68">
        <f t="shared" ref="B12:B23" si="0">B11+0.01</f>
        <v>1.03</v>
      </c>
      <c r="C12" s="67" t="s">
        <v>143</v>
      </c>
      <c r="D12" s="1">
        <v>2</v>
      </c>
      <c r="E12" s="1" t="s">
        <v>18</v>
      </c>
      <c r="F12" s="70">
        <v>6500</v>
      </c>
      <c r="G12" s="70"/>
      <c r="H12" s="70"/>
      <c r="I12" s="73"/>
    </row>
    <row r="13" spans="1:11" ht="20" hidden="1" x14ac:dyDescent="0.25">
      <c r="A13" s="1"/>
      <c r="B13" s="68">
        <f t="shared" si="0"/>
        <v>1.04</v>
      </c>
      <c r="C13" s="53" t="s">
        <v>145</v>
      </c>
      <c r="D13" s="1">
        <v>4</v>
      </c>
      <c r="E13" s="1" t="s">
        <v>18</v>
      </c>
      <c r="F13" s="54">
        <v>4000</v>
      </c>
      <c r="G13" s="54"/>
      <c r="H13" s="54"/>
      <c r="I13" s="69"/>
    </row>
    <row r="14" spans="1:11" ht="20" hidden="1" x14ac:dyDescent="0.25">
      <c r="A14" s="1"/>
      <c r="B14" s="68">
        <f t="shared" si="0"/>
        <v>1.05</v>
      </c>
      <c r="C14" s="53" t="s">
        <v>160</v>
      </c>
      <c r="D14" s="1">
        <v>1</v>
      </c>
      <c r="E14" s="1" t="s">
        <v>1</v>
      </c>
      <c r="F14" s="54"/>
      <c r="G14" s="54"/>
      <c r="H14" s="54"/>
      <c r="I14" s="69"/>
    </row>
    <row r="15" spans="1:11" s="5" customFormat="1" ht="23.25" hidden="1" customHeight="1" x14ac:dyDescent="0.15">
      <c r="A15" s="68"/>
      <c r="B15" s="68">
        <f t="shared" si="0"/>
        <v>1.06</v>
      </c>
      <c r="C15" s="67" t="s">
        <v>144</v>
      </c>
      <c r="D15" s="1">
        <v>1</v>
      </c>
      <c r="E15" s="1" t="s">
        <v>1</v>
      </c>
      <c r="F15" s="70">
        <v>35000</v>
      </c>
      <c r="G15" s="70"/>
      <c r="H15" s="70"/>
      <c r="I15" s="73"/>
    </row>
    <row r="16" spans="1:11" ht="20" hidden="1" x14ac:dyDescent="0.25">
      <c r="A16" s="1"/>
      <c r="B16" s="68">
        <f t="shared" si="0"/>
        <v>1.07</v>
      </c>
      <c r="C16" s="53" t="s">
        <v>159</v>
      </c>
      <c r="D16" s="1">
        <v>8</v>
      </c>
      <c r="E16" s="1" t="s">
        <v>18</v>
      </c>
      <c r="F16" s="54">
        <v>4000</v>
      </c>
      <c r="G16" s="54"/>
      <c r="H16" s="54"/>
      <c r="I16" s="69"/>
    </row>
    <row r="17" spans="1:11" ht="20" hidden="1" x14ac:dyDescent="0.25">
      <c r="A17" s="1"/>
      <c r="B17" s="68">
        <f t="shared" si="0"/>
        <v>1.08</v>
      </c>
      <c r="C17" s="53" t="s">
        <v>158</v>
      </c>
      <c r="D17" s="1">
        <v>2</v>
      </c>
      <c r="E17" s="1" t="s">
        <v>18</v>
      </c>
      <c r="F17" s="54"/>
      <c r="G17" s="54"/>
      <c r="H17" s="54"/>
      <c r="I17" s="69"/>
    </row>
    <row r="18" spans="1:11" ht="20" hidden="1" x14ac:dyDescent="0.25">
      <c r="A18" s="1"/>
      <c r="B18" s="68">
        <f t="shared" si="0"/>
        <v>1.0900000000000001</v>
      </c>
      <c r="C18" s="53" t="s">
        <v>157</v>
      </c>
      <c r="D18" s="1">
        <v>1</v>
      </c>
      <c r="E18" s="1" t="s">
        <v>18</v>
      </c>
      <c r="F18" s="54"/>
      <c r="G18" s="54"/>
      <c r="H18" s="54"/>
      <c r="I18" s="69"/>
    </row>
    <row r="19" spans="1:11" ht="40" hidden="1" x14ac:dyDescent="0.25">
      <c r="A19" s="1"/>
      <c r="B19" s="68">
        <f t="shared" si="0"/>
        <v>1.1000000000000001</v>
      </c>
      <c r="C19" s="53" t="s">
        <v>162</v>
      </c>
      <c r="D19" s="1">
        <v>3</v>
      </c>
      <c r="E19" s="1" t="s">
        <v>18</v>
      </c>
      <c r="F19" s="54"/>
      <c r="G19" s="54"/>
      <c r="H19" s="54"/>
      <c r="I19" s="69"/>
    </row>
    <row r="20" spans="1:11" ht="20" hidden="1" x14ac:dyDescent="0.25">
      <c r="A20" s="1"/>
      <c r="B20" s="68">
        <f t="shared" si="0"/>
        <v>1.1100000000000001</v>
      </c>
      <c r="C20" s="53" t="s">
        <v>161</v>
      </c>
      <c r="D20" s="1">
        <v>1</v>
      </c>
      <c r="E20" s="1" t="s">
        <v>18</v>
      </c>
      <c r="F20" s="54"/>
      <c r="G20" s="54"/>
      <c r="H20" s="54"/>
      <c r="I20" s="69"/>
    </row>
    <row r="21" spans="1:11" ht="20" hidden="1" x14ac:dyDescent="0.25">
      <c r="A21" s="1"/>
      <c r="B21" s="68">
        <f t="shared" si="0"/>
        <v>1.1200000000000001</v>
      </c>
      <c r="C21" s="53" t="s">
        <v>163</v>
      </c>
      <c r="D21" s="1">
        <v>2</v>
      </c>
      <c r="E21" s="1" t="s">
        <v>18</v>
      </c>
      <c r="F21" s="54"/>
      <c r="G21" s="54"/>
      <c r="H21" s="54"/>
      <c r="I21" s="69"/>
    </row>
    <row r="22" spans="1:11" ht="20" hidden="1" x14ac:dyDescent="0.25">
      <c r="A22" s="1"/>
      <c r="B22" s="68">
        <f t="shared" si="0"/>
        <v>1.1300000000000001</v>
      </c>
      <c r="C22" s="53" t="s">
        <v>164</v>
      </c>
      <c r="D22" s="1">
        <v>1</v>
      </c>
      <c r="E22" s="1" t="s">
        <v>18</v>
      </c>
      <c r="F22" s="54"/>
      <c r="G22" s="54"/>
      <c r="H22" s="54"/>
      <c r="I22" s="69"/>
    </row>
    <row r="23" spans="1:11" ht="20" hidden="1" x14ac:dyDescent="0.25">
      <c r="A23" s="1"/>
      <c r="B23" s="68">
        <f t="shared" si="0"/>
        <v>1.1400000000000001</v>
      </c>
      <c r="C23" s="53" t="s">
        <v>165</v>
      </c>
      <c r="D23" s="1">
        <v>1</v>
      </c>
      <c r="E23" s="1" t="s">
        <v>18</v>
      </c>
      <c r="F23" s="54"/>
      <c r="G23" s="54"/>
      <c r="H23" s="54"/>
      <c r="I23" s="69"/>
    </row>
    <row r="24" spans="1:11" s="11" customFormat="1" ht="20" hidden="1" x14ac:dyDescent="0.25">
      <c r="A24" s="85">
        <v>2</v>
      </c>
      <c r="B24" s="74"/>
      <c r="C24" s="57" t="s">
        <v>148</v>
      </c>
      <c r="D24" s="1"/>
      <c r="E24" s="1"/>
      <c r="F24" s="54"/>
      <c r="G24" s="54"/>
      <c r="H24" s="54"/>
      <c r="I24" s="69"/>
      <c r="K24" s="15"/>
    </row>
    <row r="25" spans="1:11" s="5" customFormat="1" hidden="1" x14ac:dyDescent="0.15">
      <c r="A25" s="68"/>
      <c r="B25" s="1">
        <v>2.0099999999999998</v>
      </c>
      <c r="C25" s="67" t="s">
        <v>149</v>
      </c>
      <c r="D25" s="1">
        <v>1</v>
      </c>
      <c r="E25" s="1" t="s">
        <v>1</v>
      </c>
      <c r="F25" s="70">
        <v>30000</v>
      </c>
      <c r="G25" s="70"/>
      <c r="H25" s="70"/>
      <c r="I25" s="73"/>
    </row>
    <row r="26" spans="1:11" ht="20" hidden="1" x14ac:dyDescent="0.25">
      <c r="A26" s="1"/>
      <c r="B26" s="1">
        <v>2.02</v>
      </c>
      <c r="C26" s="53" t="s">
        <v>155</v>
      </c>
      <c r="D26" s="1">
        <v>5</v>
      </c>
      <c r="E26" s="1" t="s">
        <v>1</v>
      </c>
      <c r="F26" s="54">
        <v>60000</v>
      </c>
      <c r="G26" s="54"/>
      <c r="H26" s="54"/>
      <c r="I26" s="69"/>
    </row>
    <row r="27" spans="1:11" x14ac:dyDescent="0.25">
      <c r="A27" s="85">
        <v>1</v>
      </c>
      <c r="B27" s="1"/>
      <c r="C27" s="55" t="s">
        <v>146</v>
      </c>
      <c r="D27" s="1"/>
      <c r="E27" s="1"/>
      <c r="F27" s="54"/>
      <c r="G27" s="54"/>
      <c r="H27" s="54"/>
      <c r="I27" s="69"/>
      <c r="K27" s="15"/>
    </row>
    <row r="28" spans="1:11" s="11" customFormat="1" ht="20" x14ac:dyDescent="0.25">
      <c r="A28" s="74"/>
      <c r="B28" s="1">
        <v>1.01</v>
      </c>
      <c r="C28" s="56" t="s">
        <v>156</v>
      </c>
      <c r="D28" s="1">
        <v>1</v>
      </c>
      <c r="E28" s="1" t="s">
        <v>197</v>
      </c>
      <c r="F28" s="54">
        <v>34000</v>
      </c>
      <c r="G28" s="54"/>
      <c r="H28" s="54"/>
      <c r="I28" s="69">
        <f>D28*F28</f>
        <v>34000</v>
      </c>
    </row>
    <row r="29" spans="1:11" s="11" customFormat="1" ht="20" x14ac:dyDescent="0.25">
      <c r="A29" s="74"/>
      <c r="B29" s="1">
        <f>0.01+B28</f>
        <v>1.02</v>
      </c>
      <c r="C29" s="56" t="s">
        <v>215</v>
      </c>
      <c r="D29" s="1">
        <v>1</v>
      </c>
      <c r="E29" s="1" t="s">
        <v>197</v>
      </c>
      <c r="F29" s="54">
        <v>26000</v>
      </c>
      <c r="G29" s="54"/>
      <c r="H29" s="54"/>
      <c r="I29" s="69">
        <f>D29*F29</f>
        <v>26000</v>
      </c>
    </row>
    <row r="30" spans="1:11" s="11" customFormat="1" ht="20" x14ac:dyDescent="0.25">
      <c r="A30" s="74"/>
      <c r="B30" s="1">
        <f>0.01+B29</f>
        <v>1.03</v>
      </c>
      <c r="C30" s="56" t="s">
        <v>216</v>
      </c>
      <c r="D30" s="1">
        <v>1</v>
      </c>
      <c r="E30" s="1" t="s">
        <v>197</v>
      </c>
      <c r="F30" s="54">
        <v>23000</v>
      </c>
      <c r="G30" s="54"/>
      <c r="H30" s="54"/>
      <c r="I30" s="69">
        <f>D30*F30</f>
        <v>23000</v>
      </c>
    </row>
    <row r="31" spans="1:11" s="6" customFormat="1" x14ac:dyDescent="0.15">
      <c r="A31" s="1"/>
      <c r="B31" s="1"/>
      <c r="C31" s="53"/>
      <c r="D31" s="1"/>
      <c r="E31" s="1"/>
      <c r="F31" s="80" t="s">
        <v>208</v>
      </c>
      <c r="G31" s="80"/>
      <c r="H31" s="80"/>
      <c r="I31" s="81">
        <f>SUM(I28:I30)</f>
        <v>83000</v>
      </c>
      <c r="K31" s="79"/>
    </row>
    <row r="32" spans="1:11" s="11" customFormat="1" ht="20" x14ac:dyDescent="0.25">
      <c r="A32" s="85">
        <v>2</v>
      </c>
      <c r="B32" s="74"/>
      <c r="C32" s="57" t="s">
        <v>147</v>
      </c>
      <c r="D32" s="1"/>
      <c r="E32" s="1"/>
      <c r="F32" s="54"/>
      <c r="G32" s="54"/>
      <c r="H32" s="54"/>
      <c r="I32" s="69"/>
      <c r="K32" s="15"/>
    </row>
    <row r="33" spans="1:11" ht="20" x14ac:dyDescent="0.25">
      <c r="A33" s="1"/>
      <c r="B33" s="68">
        <v>2.0099999999999998</v>
      </c>
      <c r="C33" s="53" t="s">
        <v>200</v>
      </c>
      <c r="D33" s="1">
        <v>2</v>
      </c>
      <c r="E33" s="1" t="s">
        <v>1</v>
      </c>
      <c r="F33" s="54">
        <v>13000</v>
      </c>
      <c r="G33" s="54"/>
      <c r="H33" s="54"/>
      <c r="I33" s="69">
        <f t="shared" ref="I33:I95" si="1">D33*F33</f>
        <v>26000</v>
      </c>
    </row>
    <row r="34" spans="1:11" ht="20" x14ac:dyDescent="0.25">
      <c r="A34" s="1"/>
      <c r="B34" s="68">
        <f>B33+0.01</f>
        <v>2.0199999999999996</v>
      </c>
      <c r="C34" s="53" t="s">
        <v>219</v>
      </c>
      <c r="D34" s="1">
        <v>1</v>
      </c>
      <c r="E34" s="1" t="s">
        <v>1</v>
      </c>
      <c r="F34" s="54">
        <v>5600</v>
      </c>
      <c r="G34" s="54"/>
      <c r="H34" s="54"/>
      <c r="I34" s="69">
        <f t="shared" si="1"/>
        <v>5600</v>
      </c>
    </row>
    <row r="35" spans="1:11" ht="20" x14ac:dyDescent="0.25">
      <c r="A35" s="1"/>
      <c r="B35" s="68">
        <f>B34+0.01</f>
        <v>2.0299999999999994</v>
      </c>
      <c r="C35" s="53" t="s">
        <v>202</v>
      </c>
      <c r="D35" s="1">
        <v>1</v>
      </c>
      <c r="E35" s="1" t="s">
        <v>1</v>
      </c>
      <c r="F35" s="54">
        <v>8000</v>
      </c>
      <c r="G35" s="54"/>
      <c r="H35" s="54"/>
      <c r="I35" s="69">
        <f t="shared" si="1"/>
        <v>8000</v>
      </c>
    </row>
    <row r="36" spans="1:11" x14ac:dyDescent="0.25">
      <c r="A36" s="1"/>
      <c r="B36" s="68"/>
      <c r="C36" s="53"/>
      <c r="D36" s="1"/>
      <c r="E36" s="1"/>
      <c r="F36" s="80" t="s">
        <v>208</v>
      </c>
      <c r="G36" s="80"/>
      <c r="H36" s="80"/>
      <c r="I36" s="81">
        <f>SUM(I33:I35)</f>
        <v>39600</v>
      </c>
      <c r="K36" s="15"/>
    </row>
    <row r="37" spans="1:11" s="11" customFormat="1" ht="20" x14ac:dyDescent="0.25">
      <c r="A37" s="85">
        <v>3</v>
      </c>
      <c r="B37" s="74"/>
      <c r="C37" s="57" t="s">
        <v>150</v>
      </c>
      <c r="D37" s="1"/>
      <c r="E37" s="1"/>
      <c r="F37" s="54"/>
      <c r="G37" s="54"/>
      <c r="H37" s="54"/>
      <c r="I37" s="69"/>
      <c r="K37" s="15"/>
    </row>
    <row r="38" spans="1:11" s="11" customFormat="1" ht="20" x14ac:dyDescent="0.25">
      <c r="A38" s="85"/>
      <c r="B38" s="74"/>
      <c r="C38" s="56" t="s">
        <v>181</v>
      </c>
      <c r="D38" s="1"/>
      <c r="E38" s="1"/>
      <c r="F38" s="54"/>
      <c r="G38" s="54"/>
      <c r="H38" s="54"/>
      <c r="I38" s="69"/>
      <c r="K38" s="15"/>
    </row>
    <row r="39" spans="1:11" s="5" customFormat="1" x14ac:dyDescent="0.15">
      <c r="A39" s="68"/>
      <c r="B39" s="1">
        <v>3.01</v>
      </c>
      <c r="C39" s="71" t="s">
        <v>194</v>
      </c>
      <c r="D39" s="1">
        <v>12</v>
      </c>
      <c r="E39" s="1" t="s">
        <v>197</v>
      </c>
      <c r="F39" s="70">
        <v>1300</v>
      </c>
      <c r="G39" s="70"/>
      <c r="H39" s="70"/>
      <c r="I39" s="69">
        <f t="shared" si="1"/>
        <v>15600</v>
      </c>
    </row>
    <row r="40" spans="1:11" s="5" customFormat="1" x14ac:dyDescent="0.15">
      <c r="A40" s="68"/>
      <c r="B40" s="1">
        <f t="shared" ref="B40:B45" si="2">B39+0.01</f>
        <v>3.0199999999999996</v>
      </c>
      <c r="C40" s="71" t="s">
        <v>195</v>
      </c>
      <c r="D40" s="1">
        <v>8</v>
      </c>
      <c r="E40" s="1" t="s">
        <v>197</v>
      </c>
      <c r="F40" s="70">
        <v>60</v>
      </c>
      <c r="G40" s="70"/>
      <c r="H40" s="70"/>
      <c r="I40" s="69">
        <f t="shared" si="1"/>
        <v>480</v>
      </c>
    </row>
    <row r="41" spans="1:11" s="5" customFormat="1" x14ac:dyDescent="0.15">
      <c r="A41" s="68"/>
      <c r="B41" s="1">
        <f t="shared" si="2"/>
        <v>3.0299999999999994</v>
      </c>
      <c r="C41" s="71" t="s">
        <v>176</v>
      </c>
      <c r="D41" s="1">
        <v>28</v>
      </c>
      <c r="E41" s="1" t="s">
        <v>197</v>
      </c>
      <c r="F41" s="70">
        <v>80</v>
      </c>
      <c r="G41" s="70"/>
      <c r="H41" s="70"/>
      <c r="I41" s="69">
        <f t="shared" si="1"/>
        <v>2240</v>
      </c>
    </row>
    <row r="42" spans="1:11" s="5" customFormat="1" x14ac:dyDescent="0.15">
      <c r="A42" s="68"/>
      <c r="B42" s="1">
        <f t="shared" si="2"/>
        <v>3.0399999999999991</v>
      </c>
      <c r="C42" s="71" t="s">
        <v>225</v>
      </c>
      <c r="D42" s="1"/>
      <c r="E42" s="1" t="s">
        <v>197</v>
      </c>
      <c r="F42" s="70"/>
      <c r="G42" s="70"/>
      <c r="H42" s="70"/>
      <c r="I42" s="69"/>
    </row>
    <row r="43" spans="1:11" s="5" customFormat="1" x14ac:dyDescent="0.15">
      <c r="A43" s="68"/>
      <c r="B43" s="1">
        <f t="shared" si="2"/>
        <v>3.0499999999999989</v>
      </c>
      <c r="C43" s="71" t="s">
        <v>228</v>
      </c>
      <c r="D43" s="1"/>
      <c r="E43" s="1" t="s">
        <v>197</v>
      </c>
      <c r="F43" s="70"/>
      <c r="G43" s="70"/>
      <c r="H43" s="70"/>
      <c r="I43" s="69"/>
    </row>
    <row r="44" spans="1:11" ht="20" x14ac:dyDescent="0.25">
      <c r="A44" s="1"/>
      <c r="B44" s="1">
        <f t="shared" si="2"/>
        <v>3.0599999999999987</v>
      </c>
      <c r="C44" s="76" t="s">
        <v>175</v>
      </c>
      <c r="D44" s="1">
        <v>5</v>
      </c>
      <c r="E44" s="1" t="s">
        <v>134</v>
      </c>
      <c r="F44" s="54">
        <v>140</v>
      </c>
      <c r="G44" s="54"/>
      <c r="H44" s="54"/>
      <c r="I44" s="69">
        <f t="shared" si="1"/>
        <v>700</v>
      </c>
    </row>
    <row r="45" spans="1:11" s="5" customFormat="1" ht="23.25" customHeight="1" x14ac:dyDescent="0.15">
      <c r="A45" s="68"/>
      <c r="B45" s="1">
        <f t="shared" si="2"/>
        <v>3.0699999999999985</v>
      </c>
      <c r="C45" s="71" t="s">
        <v>166</v>
      </c>
      <c r="D45" s="1">
        <v>6</v>
      </c>
      <c r="E45" s="1" t="s">
        <v>105</v>
      </c>
      <c r="F45" s="70">
        <v>80</v>
      </c>
      <c r="G45" s="70"/>
      <c r="H45" s="70"/>
      <c r="I45" s="69">
        <f t="shared" si="1"/>
        <v>480</v>
      </c>
    </row>
    <row r="46" spans="1:11" s="5" customFormat="1" x14ac:dyDescent="0.15">
      <c r="A46" s="68"/>
      <c r="B46" s="1"/>
      <c r="C46" s="67" t="s">
        <v>117</v>
      </c>
      <c r="D46" s="1"/>
      <c r="E46" s="1"/>
      <c r="F46" s="70"/>
      <c r="G46" s="70"/>
      <c r="H46" s="70"/>
      <c r="I46" s="69"/>
    </row>
    <row r="47" spans="1:11" s="5" customFormat="1" x14ac:dyDescent="0.15">
      <c r="A47" s="68"/>
      <c r="B47" s="1">
        <f>B45+0.01</f>
        <v>3.0799999999999983</v>
      </c>
      <c r="C47" s="71" t="s">
        <v>168</v>
      </c>
      <c r="D47" s="1">
        <v>75</v>
      </c>
      <c r="E47" s="1" t="s">
        <v>197</v>
      </c>
      <c r="F47" s="70">
        <v>20</v>
      </c>
      <c r="G47" s="70"/>
      <c r="H47" s="70"/>
      <c r="I47" s="69">
        <f t="shared" si="1"/>
        <v>1500</v>
      </c>
    </row>
    <row r="48" spans="1:11" ht="20" x14ac:dyDescent="0.25">
      <c r="A48" s="1"/>
      <c r="B48" s="1">
        <f>B47+0.01</f>
        <v>3.0899999999999981</v>
      </c>
      <c r="C48" s="76" t="s">
        <v>167</v>
      </c>
      <c r="D48" s="1">
        <v>75</v>
      </c>
      <c r="E48" s="1" t="s">
        <v>197</v>
      </c>
      <c r="F48" s="54">
        <v>20</v>
      </c>
      <c r="G48" s="54"/>
      <c r="H48" s="54"/>
      <c r="I48" s="69">
        <f t="shared" si="1"/>
        <v>1500</v>
      </c>
    </row>
    <row r="49" spans="1:11" s="5" customFormat="1" x14ac:dyDescent="0.15">
      <c r="A49" s="68"/>
      <c r="B49" s="1">
        <f t="shared" ref="B49:B55" si="3">B48+0.01</f>
        <v>3.0999999999999979</v>
      </c>
      <c r="C49" s="71" t="s">
        <v>171</v>
      </c>
      <c r="D49" s="1">
        <v>5</v>
      </c>
      <c r="E49" s="1" t="s">
        <v>197</v>
      </c>
      <c r="F49" s="70">
        <v>50</v>
      </c>
      <c r="G49" s="70"/>
      <c r="H49" s="70"/>
      <c r="I49" s="69">
        <f t="shared" si="1"/>
        <v>250</v>
      </c>
    </row>
    <row r="50" spans="1:11" s="5" customFormat="1" x14ac:dyDescent="0.15">
      <c r="A50" s="68"/>
      <c r="B50" s="1">
        <f t="shared" si="3"/>
        <v>3.1099999999999977</v>
      </c>
      <c r="C50" s="71" t="s">
        <v>182</v>
      </c>
      <c r="D50" s="1">
        <v>4</v>
      </c>
      <c r="E50" s="1" t="s">
        <v>136</v>
      </c>
      <c r="F50" s="70">
        <v>660</v>
      </c>
      <c r="G50" s="70"/>
      <c r="H50" s="70"/>
      <c r="I50" s="69">
        <f t="shared" si="1"/>
        <v>2640</v>
      </c>
    </row>
    <row r="51" spans="1:11" s="5" customFormat="1" x14ac:dyDescent="0.15">
      <c r="A51" s="68"/>
      <c r="B51" s="1">
        <f t="shared" si="3"/>
        <v>3.1199999999999974</v>
      </c>
      <c r="C51" s="71" t="s">
        <v>183</v>
      </c>
      <c r="D51" s="1">
        <v>6</v>
      </c>
      <c r="E51" s="1" t="s">
        <v>136</v>
      </c>
      <c r="F51" s="70">
        <v>650</v>
      </c>
      <c r="G51" s="70"/>
      <c r="H51" s="70"/>
      <c r="I51" s="69">
        <f t="shared" si="1"/>
        <v>3900</v>
      </c>
    </row>
    <row r="52" spans="1:11" s="5" customFormat="1" x14ac:dyDescent="0.15">
      <c r="A52" s="68"/>
      <c r="B52" s="1">
        <f t="shared" si="3"/>
        <v>3.1299999999999972</v>
      </c>
      <c r="C52" s="71" t="s">
        <v>184</v>
      </c>
      <c r="D52" s="1">
        <v>3</v>
      </c>
      <c r="E52" s="1" t="s">
        <v>136</v>
      </c>
      <c r="F52" s="70">
        <v>420</v>
      </c>
      <c r="G52" s="70"/>
      <c r="H52" s="70"/>
      <c r="I52" s="69">
        <f t="shared" si="1"/>
        <v>1260</v>
      </c>
    </row>
    <row r="53" spans="1:11" s="5" customFormat="1" x14ac:dyDescent="0.15">
      <c r="A53" s="68"/>
      <c r="B53" s="1">
        <f t="shared" si="3"/>
        <v>3.139999999999997</v>
      </c>
      <c r="C53" s="71" t="s">
        <v>224</v>
      </c>
      <c r="D53" s="1">
        <v>3</v>
      </c>
      <c r="E53" s="1" t="s">
        <v>136</v>
      </c>
      <c r="F53" s="70">
        <v>860</v>
      </c>
      <c r="G53" s="70"/>
      <c r="H53" s="70"/>
      <c r="I53" s="69">
        <f t="shared" si="1"/>
        <v>2580</v>
      </c>
    </row>
    <row r="54" spans="1:11" s="5" customFormat="1" x14ac:dyDescent="0.15">
      <c r="A54" s="68"/>
      <c r="B54" s="1">
        <f t="shared" si="3"/>
        <v>3.1499999999999968</v>
      </c>
      <c r="C54" s="71" t="s">
        <v>186</v>
      </c>
      <c r="D54" s="1">
        <v>1</v>
      </c>
      <c r="E54" s="1" t="s">
        <v>174</v>
      </c>
      <c r="F54" s="70">
        <v>180</v>
      </c>
      <c r="G54" s="70"/>
      <c r="H54" s="70"/>
      <c r="I54" s="69">
        <f t="shared" si="1"/>
        <v>180</v>
      </c>
    </row>
    <row r="55" spans="1:11" s="5" customFormat="1" x14ac:dyDescent="0.15">
      <c r="A55" s="68"/>
      <c r="B55" s="1">
        <f t="shared" si="3"/>
        <v>3.1599999999999966</v>
      </c>
      <c r="C55" s="71" t="s">
        <v>185</v>
      </c>
      <c r="D55" s="1">
        <v>1</v>
      </c>
      <c r="E55" s="1" t="s">
        <v>174</v>
      </c>
      <c r="F55" s="70">
        <v>620</v>
      </c>
      <c r="G55" s="70"/>
      <c r="H55" s="70"/>
      <c r="I55" s="69">
        <f t="shared" si="1"/>
        <v>620</v>
      </c>
      <c r="K55" s="72">
        <f>SUM(I38:I55)</f>
        <v>33930</v>
      </c>
    </row>
    <row r="56" spans="1:11" s="5" customFormat="1" ht="20" x14ac:dyDescent="0.15">
      <c r="A56" s="68"/>
      <c r="B56" s="1"/>
      <c r="C56" s="71"/>
      <c r="D56" s="1"/>
      <c r="E56" s="1"/>
      <c r="F56" s="82" t="s">
        <v>208</v>
      </c>
      <c r="G56" s="82"/>
      <c r="H56" s="82"/>
      <c r="I56" s="81">
        <f>SUM(I39:I55)</f>
        <v>33930</v>
      </c>
      <c r="K56" s="72"/>
    </row>
    <row r="57" spans="1:11" s="11" customFormat="1" ht="20" x14ac:dyDescent="0.25">
      <c r="A57" s="85">
        <v>4</v>
      </c>
      <c r="B57" s="74"/>
      <c r="C57" s="57" t="s">
        <v>3</v>
      </c>
      <c r="D57" s="1"/>
      <c r="E57" s="1"/>
      <c r="F57" s="54"/>
      <c r="G57" s="54"/>
      <c r="H57" s="54"/>
      <c r="I57" s="69"/>
      <c r="K57" s="15"/>
    </row>
    <row r="58" spans="1:11" s="5" customFormat="1" x14ac:dyDescent="0.15">
      <c r="A58" s="68"/>
      <c r="B58" s="1">
        <v>4.01</v>
      </c>
      <c r="C58" s="67" t="s">
        <v>284</v>
      </c>
      <c r="D58" s="1">
        <v>38</v>
      </c>
      <c r="E58" s="1" t="s">
        <v>172</v>
      </c>
      <c r="F58" s="70">
        <v>1300</v>
      </c>
      <c r="G58" s="70"/>
      <c r="H58" s="70"/>
      <c r="I58" s="69">
        <f t="shared" si="1"/>
        <v>49400</v>
      </c>
    </row>
    <row r="59" spans="1:11" ht="20" x14ac:dyDescent="0.25">
      <c r="A59" s="1"/>
      <c r="B59" s="1">
        <v>4.0199999999999996</v>
      </c>
      <c r="C59" s="53" t="s">
        <v>229</v>
      </c>
      <c r="D59" s="1">
        <v>24</v>
      </c>
      <c r="E59" s="1" t="s">
        <v>197</v>
      </c>
      <c r="F59" s="54">
        <v>230</v>
      </c>
      <c r="G59" s="54"/>
      <c r="H59" s="54"/>
      <c r="I59" s="69">
        <f t="shared" si="1"/>
        <v>5520</v>
      </c>
      <c r="K59" s="15">
        <f>SUM(I58:I59)</f>
        <v>54920</v>
      </c>
    </row>
    <row r="60" spans="1:11" x14ac:dyDescent="0.25">
      <c r="A60" s="1"/>
      <c r="B60" s="1"/>
      <c r="C60" s="53"/>
      <c r="D60" s="1"/>
      <c r="E60" s="1"/>
      <c r="F60" s="80" t="s">
        <v>208</v>
      </c>
      <c r="G60" s="80"/>
      <c r="H60" s="80"/>
      <c r="I60" s="81">
        <f>SUM(I58:I59)</f>
        <v>54920</v>
      </c>
      <c r="K60" s="15"/>
    </row>
    <row r="61" spans="1:11" s="11" customFormat="1" ht="20" x14ac:dyDescent="0.25">
      <c r="A61" s="85">
        <v>5</v>
      </c>
      <c r="B61" s="74"/>
      <c r="C61" s="57" t="s">
        <v>151</v>
      </c>
      <c r="D61" s="1"/>
      <c r="E61" s="1"/>
      <c r="F61" s="54"/>
      <c r="G61" s="54"/>
      <c r="H61" s="54"/>
      <c r="I61" s="69"/>
      <c r="K61" s="15"/>
    </row>
    <row r="62" spans="1:11" s="11" customFormat="1" ht="20" x14ac:dyDescent="0.25">
      <c r="A62" s="85"/>
      <c r="B62" s="74"/>
      <c r="C62" s="53" t="s">
        <v>187</v>
      </c>
      <c r="D62" s="1"/>
      <c r="E62" s="1"/>
      <c r="F62" s="54"/>
      <c r="G62" s="54"/>
      <c r="H62" s="54"/>
      <c r="I62" s="69"/>
      <c r="K62" s="15"/>
    </row>
    <row r="63" spans="1:11" s="5" customFormat="1" x14ac:dyDescent="0.15">
      <c r="A63" s="68"/>
      <c r="B63" s="1">
        <v>5.01</v>
      </c>
      <c r="C63" s="77" t="s">
        <v>191</v>
      </c>
      <c r="D63" s="1">
        <v>3</v>
      </c>
      <c r="E63" s="1" t="s">
        <v>197</v>
      </c>
      <c r="F63" s="70">
        <v>1270</v>
      </c>
      <c r="G63" s="70"/>
      <c r="H63" s="70"/>
      <c r="I63" s="69">
        <f t="shared" si="1"/>
        <v>3810</v>
      </c>
    </row>
    <row r="64" spans="1:11" x14ac:dyDescent="0.25">
      <c r="A64" s="1"/>
      <c r="B64" s="1">
        <f t="shared" ref="B64:B72" si="4">B63+0.01</f>
        <v>5.0199999999999996</v>
      </c>
      <c r="C64" s="77" t="s">
        <v>192</v>
      </c>
      <c r="D64" s="1">
        <v>5</v>
      </c>
      <c r="E64" s="1" t="s">
        <v>197</v>
      </c>
      <c r="F64" s="54">
        <v>760</v>
      </c>
      <c r="G64" s="54"/>
      <c r="H64" s="54"/>
      <c r="I64" s="69">
        <f t="shared" si="1"/>
        <v>3800</v>
      </c>
    </row>
    <row r="65" spans="1:11" s="5" customFormat="1" x14ac:dyDescent="0.15">
      <c r="A65" s="68"/>
      <c r="B65" s="1">
        <f t="shared" si="4"/>
        <v>5.0299999999999994</v>
      </c>
      <c r="C65" s="71" t="s">
        <v>103</v>
      </c>
      <c r="D65" s="1">
        <v>4</v>
      </c>
      <c r="E65" s="1" t="s">
        <v>105</v>
      </c>
      <c r="F65" s="70">
        <v>90</v>
      </c>
      <c r="G65" s="70"/>
      <c r="H65" s="70"/>
      <c r="I65" s="69">
        <f t="shared" si="1"/>
        <v>360</v>
      </c>
    </row>
    <row r="66" spans="1:11" s="5" customFormat="1" x14ac:dyDescent="0.15">
      <c r="A66" s="68"/>
      <c r="B66" s="1">
        <f t="shared" si="4"/>
        <v>5.0399999999999991</v>
      </c>
      <c r="C66" s="71" t="s">
        <v>226</v>
      </c>
      <c r="D66" s="1">
        <v>14</v>
      </c>
      <c r="E66" s="1" t="s">
        <v>197</v>
      </c>
      <c r="F66" s="70">
        <v>40</v>
      </c>
      <c r="G66" s="70"/>
      <c r="H66" s="70"/>
      <c r="I66" s="69">
        <f t="shared" si="1"/>
        <v>560</v>
      </c>
    </row>
    <row r="67" spans="1:11" s="5" customFormat="1" x14ac:dyDescent="0.15">
      <c r="A67" s="68"/>
      <c r="B67" s="1">
        <f t="shared" si="4"/>
        <v>5.0499999999999989</v>
      </c>
      <c r="C67" s="78" t="s">
        <v>196</v>
      </c>
      <c r="D67" s="1">
        <v>32</v>
      </c>
      <c r="E67" s="1" t="s">
        <v>197</v>
      </c>
      <c r="F67" s="70">
        <v>740</v>
      </c>
      <c r="G67" s="70"/>
      <c r="H67" s="70"/>
      <c r="I67" s="69">
        <f t="shared" si="1"/>
        <v>23680</v>
      </c>
    </row>
    <row r="68" spans="1:11" s="5" customFormat="1" x14ac:dyDescent="0.15">
      <c r="A68" s="68"/>
      <c r="B68" s="1">
        <f t="shared" si="4"/>
        <v>5.0599999999999987</v>
      </c>
      <c r="C68" s="71" t="s">
        <v>198</v>
      </c>
      <c r="D68" s="1">
        <v>13</v>
      </c>
      <c r="E68" s="1" t="s">
        <v>197</v>
      </c>
      <c r="F68" s="70">
        <v>140</v>
      </c>
      <c r="G68" s="70"/>
      <c r="H68" s="70"/>
      <c r="I68" s="69">
        <f t="shared" si="1"/>
        <v>1820</v>
      </c>
    </row>
    <row r="69" spans="1:11" s="5" customFormat="1" x14ac:dyDescent="0.15">
      <c r="A69" s="68"/>
      <c r="B69" s="1">
        <f t="shared" si="4"/>
        <v>5.0699999999999985</v>
      </c>
      <c r="C69" s="71" t="s">
        <v>199</v>
      </c>
      <c r="D69" s="1">
        <v>45</v>
      </c>
      <c r="E69" s="1" t="s">
        <v>197</v>
      </c>
      <c r="F69" s="70">
        <v>150</v>
      </c>
      <c r="G69" s="70"/>
      <c r="H69" s="70"/>
      <c r="I69" s="69">
        <f t="shared" si="1"/>
        <v>6750</v>
      </c>
    </row>
    <row r="70" spans="1:11" s="5" customFormat="1" x14ac:dyDescent="0.15">
      <c r="A70" s="68"/>
      <c r="B70" s="1">
        <f t="shared" si="4"/>
        <v>5.0799999999999983</v>
      </c>
      <c r="C70" s="71" t="s">
        <v>204</v>
      </c>
      <c r="D70" s="1">
        <v>350</v>
      </c>
      <c r="E70" s="1" t="s">
        <v>197</v>
      </c>
      <c r="F70" s="70">
        <v>0.8</v>
      </c>
      <c r="G70" s="70"/>
      <c r="H70" s="70"/>
      <c r="I70" s="69">
        <f t="shared" si="1"/>
        <v>280</v>
      </c>
    </row>
    <row r="71" spans="1:11" s="5" customFormat="1" x14ac:dyDescent="0.15">
      <c r="A71" s="68"/>
      <c r="B71" s="1">
        <f t="shared" si="4"/>
        <v>5.0899999999999981</v>
      </c>
      <c r="C71" s="71" t="s">
        <v>203</v>
      </c>
      <c r="D71" s="1">
        <v>1200</v>
      </c>
      <c r="E71" s="1" t="s">
        <v>197</v>
      </c>
      <c r="F71" s="70">
        <v>1.4</v>
      </c>
      <c r="G71" s="70"/>
      <c r="H71" s="70"/>
      <c r="I71" s="69">
        <f t="shared" si="1"/>
        <v>1680</v>
      </c>
    </row>
    <row r="72" spans="1:11" s="5" customFormat="1" x14ac:dyDescent="0.15">
      <c r="A72" s="68"/>
      <c r="B72" s="1">
        <f t="shared" si="4"/>
        <v>5.0999999999999979</v>
      </c>
      <c r="C72" s="71" t="s">
        <v>205</v>
      </c>
      <c r="D72" s="1">
        <v>1.5</v>
      </c>
      <c r="E72" s="1" t="s">
        <v>105</v>
      </c>
      <c r="F72" s="70">
        <v>90</v>
      </c>
      <c r="G72" s="70"/>
      <c r="H72" s="70"/>
      <c r="I72" s="69">
        <f t="shared" si="1"/>
        <v>135</v>
      </c>
      <c r="K72" s="72">
        <f>SUM(I63:I72)</f>
        <v>42875</v>
      </c>
    </row>
    <row r="73" spans="1:11" s="5" customFormat="1" ht="20" x14ac:dyDescent="0.15">
      <c r="A73" s="68"/>
      <c r="B73" s="1"/>
      <c r="C73" s="71"/>
      <c r="D73" s="1"/>
      <c r="E73" s="1"/>
      <c r="F73" s="82" t="s">
        <v>208</v>
      </c>
      <c r="G73" s="82"/>
      <c r="H73" s="82"/>
      <c r="I73" s="81">
        <f>SUM(I63:I72)</f>
        <v>42875</v>
      </c>
      <c r="K73" s="72"/>
    </row>
    <row r="74" spans="1:11" s="11" customFormat="1" ht="20" x14ac:dyDescent="0.25">
      <c r="A74" s="85">
        <v>6</v>
      </c>
      <c r="B74" s="74"/>
      <c r="C74" s="57" t="s">
        <v>141</v>
      </c>
      <c r="D74" s="1"/>
      <c r="E74" s="1"/>
      <c r="F74" s="54"/>
      <c r="G74" s="54"/>
      <c r="H74" s="54"/>
      <c r="I74" s="69"/>
      <c r="K74" s="15"/>
    </row>
    <row r="75" spans="1:11" s="5" customFormat="1" x14ac:dyDescent="0.15">
      <c r="A75" s="68"/>
      <c r="B75" s="1">
        <v>6.01</v>
      </c>
      <c r="C75" s="67" t="s">
        <v>210</v>
      </c>
      <c r="D75" s="1">
        <v>2</v>
      </c>
      <c r="E75" s="1" t="s">
        <v>214</v>
      </c>
      <c r="F75" s="70">
        <v>3100</v>
      </c>
      <c r="G75" s="70"/>
      <c r="H75" s="70"/>
      <c r="I75" s="69">
        <f t="shared" si="1"/>
        <v>6200</v>
      </c>
    </row>
    <row r="76" spans="1:11" ht="20" x14ac:dyDescent="0.25">
      <c r="A76" s="1"/>
      <c r="B76" s="1">
        <f>B75+0.01</f>
        <v>6.02</v>
      </c>
      <c r="C76" s="53" t="s">
        <v>212</v>
      </c>
      <c r="D76" s="1">
        <v>5</v>
      </c>
      <c r="E76" s="1" t="s">
        <v>197</v>
      </c>
      <c r="F76" s="54">
        <v>125</v>
      </c>
      <c r="G76" s="54"/>
      <c r="H76" s="54"/>
      <c r="I76" s="69">
        <f t="shared" si="1"/>
        <v>625</v>
      </c>
    </row>
    <row r="77" spans="1:11" s="5" customFormat="1" ht="23.25" customHeight="1" x14ac:dyDescent="0.15">
      <c r="A77" s="68"/>
      <c r="B77" s="1">
        <f>B76+0.01</f>
        <v>6.0299999999999994</v>
      </c>
      <c r="C77" s="67" t="s">
        <v>209</v>
      </c>
      <c r="D77" s="1">
        <v>3</v>
      </c>
      <c r="E77" s="1" t="s">
        <v>197</v>
      </c>
      <c r="F77" s="70">
        <v>100</v>
      </c>
      <c r="G77" s="70"/>
      <c r="H77" s="70"/>
      <c r="I77" s="69">
        <f t="shared" si="1"/>
        <v>300</v>
      </c>
    </row>
    <row r="78" spans="1:11" ht="20" x14ac:dyDescent="0.25">
      <c r="A78" s="1"/>
      <c r="B78" s="1">
        <f>B77+0.01</f>
        <v>6.0399999999999991</v>
      </c>
      <c r="C78" s="53" t="s">
        <v>213</v>
      </c>
      <c r="D78" s="1">
        <v>5</v>
      </c>
      <c r="E78" s="1" t="s">
        <v>197</v>
      </c>
      <c r="F78" s="54">
        <v>30</v>
      </c>
      <c r="G78" s="54"/>
      <c r="H78" s="54"/>
      <c r="I78" s="69">
        <f t="shared" si="1"/>
        <v>150</v>
      </c>
    </row>
    <row r="79" spans="1:11" ht="20" x14ac:dyDescent="0.25">
      <c r="A79" s="1"/>
      <c r="B79" s="1">
        <f>B78+0.01</f>
        <v>6.0499999999999989</v>
      </c>
      <c r="C79" s="53" t="s">
        <v>211</v>
      </c>
      <c r="D79" s="1">
        <v>2</v>
      </c>
      <c r="E79" s="1" t="s">
        <v>197</v>
      </c>
      <c r="F79" s="54">
        <v>40</v>
      </c>
      <c r="G79" s="54"/>
      <c r="H79" s="54"/>
      <c r="I79" s="69">
        <f t="shared" si="1"/>
        <v>80</v>
      </c>
    </row>
    <row r="80" spans="1:11" x14ac:dyDescent="0.25">
      <c r="A80" s="1"/>
      <c r="B80" s="1"/>
      <c r="C80" s="53"/>
      <c r="D80" s="1"/>
      <c r="E80" s="1"/>
      <c r="F80" s="80" t="s">
        <v>208</v>
      </c>
      <c r="G80" s="80"/>
      <c r="H80" s="80"/>
      <c r="I80" s="81">
        <f>SUM(I75:I79)</f>
        <v>7355</v>
      </c>
    </row>
    <row r="81" spans="1:11" s="11" customFormat="1" ht="20" hidden="1" x14ac:dyDescent="0.25">
      <c r="A81" s="85">
        <v>7</v>
      </c>
      <c r="B81" s="74"/>
      <c r="C81" s="57" t="s">
        <v>153</v>
      </c>
      <c r="D81" s="1"/>
      <c r="E81" s="1"/>
      <c r="F81" s="54"/>
      <c r="G81" s="54"/>
      <c r="H81" s="54"/>
      <c r="I81" s="69"/>
      <c r="K81" s="15"/>
    </row>
    <row r="82" spans="1:11" s="5" customFormat="1" ht="23.25" hidden="1" customHeight="1" x14ac:dyDescent="0.15">
      <c r="A82" s="68"/>
      <c r="B82" s="1"/>
      <c r="C82" s="67"/>
      <c r="D82" s="1"/>
      <c r="E82" s="1"/>
      <c r="F82" s="70"/>
      <c r="G82" s="70"/>
      <c r="H82" s="70"/>
      <c r="I82" s="69"/>
    </row>
    <row r="83" spans="1:11" hidden="1" x14ac:dyDescent="0.25">
      <c r="A83" s="1"/>
      <c r="B83" s="1"/>
      <c r="C83" s="53"/>
      <c r="D83" s="1"/>
      <c r="E83" s="1"/>
      <c r="F83" s="54"/>
      <c r="G83" s="54"/>
      <c r="H83" s="54"/>
      <c r="I83" s="69"/>
    </row>
    <row r="84" spans="1:11" hidden="1" x14ac:dyDescent="0.25">
      <c r="A84" s="1"/>
      <c r="B84" s="1"/>
      <c r="C84" s="53"/>
      <c r="D84" s="1"/>
      <c r="E84" s="1"/>
      <c r="F84" s="54"/>
      <c r="G84" s="54"/>
      <c r="H84" s="54"/>
      <c r="I84" s="69"/>
      <c r="K84" s="15">
        <f>SUM(I82:I84)</f>
        <v>0</v>
      </c>
    </row>
    <row r="85" spans="1:11" hidden="1" x14ac:dyDescent="0.25">
      <c r="A85" s="1"/>
      <c r="B85" s="1"/>
      <c r="C85" s="53"/>
      <c r="D85" s="1"/>
      <c r="E85" s="1"/>
      <c r="F85" s="80" t="s">
        <v>208</v>
      </c>
      <c r="G85" s="80"/>
      <c r="H85" s="80"/>
      <c r="I85" s="81">
        <f>SUM(I82:I84)</f>
        <v>0</v>
      </c>
      <c r="K85" s="15"/>
    </row>
    <row r="86" spans="1:11" s="11" customFormat="1" ht="20" x14ac:dyDescent="0.25">
      <c r="A86" s="85">
        <v>8</v>
      </c>
      <c r="B86" s="74"/>
      <c r="C86" s="57" t="s">
        <v>154</v>
      </c>
      <c r="D86" s="1"/>
      <c r="E86" s="1"/>
      <c r="F86" s="54"/>
      <c r="G86" s="54"/>
      <c r="H86" s="54"/>
      <c r="I86" s="69"/>
      <c r="K86" s="15"/>
    </row>
    <row r="87" spans="1:11" s="5" customFormat="1" x14ac:dyDescent="0.15">
      <c r="A87" s="68"/>
      <c r="B87" s="1"/>
      <c r="C87" s="67" t="s">
        <v>223</v>
      </c>
      <c r="D87" s="1"/>
      <c r="E87" s="1"/>
      <c r="F87" s="70"/>
      <c r="G87" s="70"/>
      <c r="H87" s="70"/>
      <c r="I87" s="69"/>
    </row>
    <row r="88" spans="1:11" s="5" customFormat="1" x14ac:dyDescent="0.15">
      <c r="A88" s="68"/>
      <c r="B88" s="1">
        <v>8.1</v>
      </c>
      <c r="C88" s="71" t="s">
        <v>178</v>
      </c>
      <c r="D88" s="1">
        <v>6</v>
      </c>
      <c r="E88" s="1" t="s">
        <v>136</v>
      </c>
      <c r="F88" s="70">
        <v>290</v>
      </c>
      <c r="G88" s="70">
        <v>290</v>
      </c>
      <c r="H88" s="70"/>
      <c r="I88" s="69">
        <f t="shared" si="1"/>
        <v>1740</v>
      </c>
    </row>
    <row r="89" spans="1:11" s="5" customFormat="1" x14ac:dyDescent="0.15">
      <c r="A89" s="68"/>
      <c r="B89" s="1">
        <f>0.01+B88</f>
        <v>8.11</v>
      </c>
      <c r="C89" s="71" t="s">
        <v>227</v>
      </c>
      <c r="D89" s="1">
        <v>10</v>
      </c>
      <c r="E89" s="1" t="s">
        <v>174</v>
      </c>
      <c r="F89" s="70">
        <v>800</v>
      </c>
      <c r="G89" s="70">
        <v>500</v>
      </c>
      <c r="H89" s="70"/>
      <c r="I89" s="69">
        <f t="shared" si="1"/>
        <v>8000</v>
      </c>
    </row>
    <row r="90" spans="1:11" s="5" customFormat="1" x14ac:dyDescent="0.15">
      <c r="A90" s="68"/>
      <c r="B90" s="1">
        <f t="shared" ref="B90:B95" si="5">0.01+B89</f>
        <v>8.1199999999999992</v>
      </c>
      <c r="C90" s="71" t="s">
        <v>179</v>
      </c>
      <c r="D90" s="1">
        <v>1</v>
      </c>
      <c r="E90" s="1" t="s">
        <v>5</v>
      </c>
      <c r="F90" s="70">
        <v>2500</v>
      </c>
      <c r="G90" s="70">
        <v>0</v>
      </c>
      <c r="H90" s="70"/>
      <c r="I90" s="69">
        <f t="shared" si="1"/>
        <v>2500</v>
      </c>
    </row>
    <row r="91" spans="1:11" ht="20" x14ac:dyDescent="0.25">
      <c r="A91" s="1"/>
      <c r="B91" s="1"/>
      <c r="C91" s="53" t="s">
        <v>222</v>
      </c>
      <c r="D91" s="1"/>
      <c r="E91" s="1"/>
      <c r="F91" s="54"/>
      <c r="G91" s="54"/>
      <c r="H91" s="54"/>
      <c r="I91" s="69"/>
      <c r="J91" s="4"/>
    </row>
    <row r="92" spans="1:11" s="5" customFormat="1" x14ac:dyDescent="0.15">
      <c r="A92" s="68"/>
      <c r="B92" s="1">
        <f>0.01+B90</f>
        <v>8.129999999999999</v>
      </c>
      <c r="C92" s="71" t="s">
        <v>180</v>
      </c>
      <c r="D92" s="1">
        <v>4</v>
      </c>
      <c r="E92" s="1" t="s">
        <v>136</v>
      </c>
      <c r="F92" s="70">
        <v>600</v>
      </c>
      <c r="G92" s="70">
        <f>F92</f>
        <v>600</v>
      </c>
      <c r="H92" s="70"/>
      <c r="I92" s="69">
        <f t="shared" si="1"/>
        <v>2400</v>
      </c>
    </row>
    <row r="93" spans="1:11" s="5" customFormat="1" x14ac:dyDescent="0.15">
      <c r="A93" s="68"/>
      <c r="B93" s="1">
        <f t="shared" si="5"/>
        <v>8.1399999999999988</v>
      </c>
      <c r="C93" s="71" t="s">
        <v>178</v>
      </c>
      <c r="D93" s="1">
        <v>11</v>
      </c>
      <c r="E93" s="1" t="s">
        <v>136</v>
      </c>
      <c r="F93" s="70">
        <v>290</v>
      </c>
      <c r="G93" s="70">
        <f>F93</f>
        <v>290</v>
      </c>
      <c r="H93" s="70"/>
      <c r="I93" s="69">
        <f t="shared" si="1"/>
        <v>3190</v>
      </c>
    </row>
    <row r="94" spans="1:11" s="5" customFormat="1" x14ac:dyDescent="0.15">
      <c r="A94" s="68"/>
      <c r="B94" s="1">
        <f t="shared" si="5"/>
        <v>8.1499999999999986</v>
      </c>
      <c r="C94" s="71" t="s">
        <v>227</v>
      </c>
      <c r="D94" s="1">
        <v>7</v>
      </c>
      <c r="E94" s="1" t="s">
        <v>136</v>
      </c>
      <c r="F94" s="70">
        <v>800</v>
      </c>
      <c r="G94" s="70">
        <f>F94</f>
        <v>800</v>
      </c>
      <c r="H94" s="70"/>
      <c r="I94" s="69">
        <f t="shared" si="1"/>
        <v>5600</v>
      </c>
    </row>
    <row r="95" spans="1:11" s="5" customFormat="1" x14ac:dyDescent="0.15">
      <c r="A95" s="68"/>
      <c r="B95" s="1">
        <f t="shared" si="5"/>
        <v>8.1599999999999984</v>
      </c>
      <c r="C95" s="71" t="s">
        <v>179</v>
      </c>
      <c r="D95" s="1">
        <v>1</v>
      </c>
      <c r="E95" s="1" t="s">
        <v>5</v>
      </c>
      <c r="F95" s="70">
        <v>1500</v>
      </c>
      <c r="G95" s="70">
        <f>F95</f>
        <v>1500</v>
      </c>
      <c r="H95" s="70"/>
      <c r="I95" s="69">
        <f t="shared" si="1"/>
        <v>1500</v>
      </c>
      <c r="J95" s="75"/>
      <c r="K95" s="72">
        <f>SUM(I88:I95)</f>
        <v>24930</v>
      </c>
    </row>
    <row r="96" spans="1:11" s="5" customFormat="1" ht="20" x14ac:dyDescent="0.15">
      <c r="A96" s="68"/>
      <c r="B96" s="1"/>
      <c r="C96" s="71"/>
      <c r="D96" s="1"/>
      <c r="E96" s="1"/>
      <c r="F96" s="82" t="s">
        <v>208</v>
      </c>
      <c r="G96" s="82"/>
      <c r="H96" s="82"/>
      <c r="I96" s="81">
        <f>SUM(I88:I95)</f>
        <v>24930</v>
      </c>
      <c r="J96" s="75"/>
      <c r="K96" s="72"/>
    </row>
    <row r="97" spans="1:13" x14ac:dyDescent="0.25">
      <c r="A97" s="866"/>
      <c r="B97" s="866"/>
      <c r="C97" s="866"/>
      <c r="D97" s="866"/>
      <c r="E97" s="866"/>
      <c r="F97" s="866"/>
      <c r="G97" s="866"/>
      <c r="H97" s="866"/>
      <c r="I97" s="866"/>
    </row>
    <row r="98" spans="1:13" ht="33" customHeight="1" x14ac:dyDescent="0.25">
      <c r="A98" s="867" t="s">
        <v>206</v>
      </c>
      <c r="B98" s="868"/>
      <c r="C98" s="869"/>
      <c r="D98" s="870">
        <f>SUM(K31:K96)</f>
        <v>156655</v>
      </c>
      <c r="E98" s="870"/>
      <c r="F98" s="870"/>
      <c r="G98" s="870"/>
      <c r="H98" s="870"/>
      <c r="I98" s="870"/>
      <c r="K98" s="72">
        <f>SUM(K31:K95)</f>
        <v>156655</v>
      </c>
      <c r="M98" s="4"/>
    </row>
    <row r="99" spans="1:13" x14ac:dyDescent="0.25">
      <c r="A99" s="7"/>
      <c r="B99" s="7"/>
      <c r="C99" s="8"/>
      <c r="D99" s="7"/>
      <c r="E99" s="7"/>
    </row>
    <row r="100" spans="1:13" x14ac:dyDescent="0.25">
      <c r="B100" s="10"/>
      <c r="C100" s="11"/>
      <c r="D100" s="12"/>
      <c r="E100" s="12"/>
      <c r="F100" s="13"/>
      <c r="G100" s="13"/>
      <c r="H100" s="13"/>
      <c r="I100" s="13"/>
    </row>
    <row r="101" spans="1:13" x14ac:dyDescent="0.25">
      <c r="A101" s="10"/>
      <c r="B101" s="10"/>
      <c r="C101" s="11"/>
      <c r="D101" s="12"/>
      <c r="E101" s="12"/>
      <c r="F101" s="13"/>
      <c r="G101" s="13"/>
      <c r="H101" s="13"/>
      <c r="I101" s="13"/>
    </row>
    <row r="102" spans="1:13" x14ac:dyDescent="0.25">
      <c r="A102" s="2"/>
      <c r="B102" s="2" t="s">
        <v>207</v>
      </c>
      <c r="D102" s="2"/>
      <c r="E102" s="2"/>
      <c r="F102" s="2"/>
      <c r="G102" s="2"/>
      <c r="H102" s="2"/>
      <c r="I102" s="2"/>
    </row>
    <row r="103" spans="1:13" x14ac:dyDescent="0.25">
      <c r="A103" s="2"/>
      <c r="B103" s="2"/>
      <c r="D103" s="2"/>
      <c r="E103" s="2"/>
      <c r="F103" s="2"/>
      <c r="G103" s="2"/>
      <c r="H103" s="2"/>
      <c r="I103" s="2"/>
    </row>
    <row r="104" spans="1:13" x14ac:dyDescent="0.25">
      <c r="A104" s="2"/>
      <c r="B104" s="2"/>
      <c r="D104" s="2"/>
      <c r="E104" s="2"/>
      <c r="F104" s="2"/>
      <c r="G104" s="2"/>
      <c r="H104" s="2"/>
      <c r="I104" s="2"/>
    </row>
    <row r="105" spans="1:13" x14ac:dyDescent="0.25">
      <c r="A105" s="2"/>
      <c r="B105" s="2"/>
      <c r="D105" s="2"/>
      <c r="E105" s="2"/>
      <c r="F105" s="2"/>
      <c r="G105" s="2"/>
      <c r="H105" s="2"/>
      <c r="I105" s="2"/>
    </row>
    <row r="106" spans="1:13" x14ac:dyDescent="0.25">
      <c r="A106" s="2"/>
      <c r="B106" s="11" t="s">
        <v>17</v>
      </c>
      <c r="D106" s="2"/>
      <c r="F106" s="2"/>
      <c r="G106" s="15" t="s">
        <v>92</v>
      </c>
      <c r="H106" s="2"/>
      <c r="I106" s="2"/>
    </row>
    <row r="107" spans="1:13" x14ac:dyDescent="0.25">
      <c r="A107" s="2"/>
      <c r="B107" s="16" t="s">
        <v>94</v>
      </c>
      <c r="C107" s="16"/>
      <c r="D107" s="2"/>
      <c r="F107" s="2"/>
      <c r="G107" s="58" t="s">
        <v>91</v>
      </c>
      <c r="H107" s="2"/>
      <c r="I107" s="2"/>
    </row>
    <row r="108" spans="1:13" x14ac:dyDescent="0.25">
      <c r="A108" s="2"/>
      <c r="B108" s="16"/>
      <c r="C108" s="16"/>
      <c r="D108" s="2"/>
      <c r="E108" s="2"/>
      <c r="F108" s="2"/>
      <c r="G108" s="2"/>
      <c r="H108" s="2"/>
      <c r="I108" s="2"/>
    </row>
    <row r="109" spans="1:13" x14ac:dyDescent="0.25">
      <c r="A109" s="2"/>
      <c r="B109" s="2"/>
      <c r="D109" s="2"/>
      <c r="E109" s="2"/>
      <c r="F109" s="2"/>
      <c r="G109" s="2"/>
      <c r="H109" s="2"/>
      <c r="I109" s="2"/>
    </row>
    <row r="110" spans="1:13" x14ac:dyDescent="0.25">
      <c r="A110" s="2"/>
      <c r="B110" s="2" t="s">
        <v>97</v>
      </c>
      <c r="D110" s="2"/>
      <c r="E110" s="2"/>
      <c r="F110" s="2"/>
      <c r="G110" s="2"/>
      <c r="H110" s="2"/>
      <c r="I110" s="2"/>
    </row>
    <row r="111" spans="1:13" x14ac:dyDescent="0.25">
      <c r="A111" s="2"/>
      <c r="B111" s="2"/>
      <c r="D111" s="2"/>
      <c r="E111" s="2"/>
      <c r="F111" s="2"/>
      <c r="G111" s="2"/>
      <c r="H111" s="2"/>
      <c r="I111" s="2"/>
    </row>
    <row r="112" spans="1:13" x14ac:dyDescent="0.25">
      <c r="A112" s="2"/>
      <c r="B112" s="2"/>
      <c r="D112" s="2"/>
      <c r="E112" s="2"/>
      <c r="F112" s="2"/>
      <c r="G112" s="2"/>
      <c r="H112" s="2"/>
      <c r="I112" s="2"/>
    </row>
    <row r="113" spans="1:9" x14ac:dyDescent="0.25">
      <c r="A113" s="2"/>
      <c r="B113" s="2"/>
      <c r="D113" s="2"/>
      <c r="E113" s="2"/>
      <c r="F113" s="2"/>
      <c r="G113" s="2"/>
      <c r="H113" s="2"/>
      <c r="I113" s="2"/>
    </row>
    <row r="114" spans="1:9" ht="16.5" customHeight="1" x14ac:dyDescent="0.25">
      <c r="A114" s="2"/>
      <c r="B114" s="11" t="s">
        <v>93</v>
      </c>
      <c r="D114" s="2"/>
      <c r="E114" s="2"/>
      <c r="F114" s="2"/>
      <c r="G114" s="2"/>
      <c r="H114" s="2"/>
      <c r="I114" s="2"/>
    </row>
    <row r="115" spans="1:9" x14ac:dyDescent="0.25">
      <c r="A115" s="2"/>
      <c r="B115" s="16" t="s">
        <v>14</v>
      </c>
      <c r="D115" s="2"/>
      <c r="E115" s="2"/>
      <c r="F115" s="2"/>
      <c r="G115" s="2"/>
      <c r="H115" s="2"/>
      <c r="I115" s="2"/>
    </row>
    <row r="116" spans="1:9" x14ac:dyDescent="0.25">
      <c r="A116" s="2"/>
      <c r="C116" s="3"/>
      <c r="D116" s="2"/>
      <c r="F116" s="3"/>
      <c r="G116" s="3"/>
      <c r="H116" s="3"/>
      <c r="I116" s="3"/>
    </row>
    <row r="117" spans="1:9" x14ac:dyDescent="0.25">
      <c r="A117" s="2"/>
      <c r="B117" s="2"/>
      <c r="D117" s="2"/>
      <c r="E117" s="2"/>
      <c r="F117" s="2"/>
      <c r="G117" s="2"/>
      <c r="H117" s="2"/>
      <c r="I117" s="2"/>
    </row>
    <row r="118" spans="1:9" x14ac:dyDescent="0.25">
      <c r="A118" s="2"/>
      <c r="B118" s="2" t="s">
        <v>10</v>
      </c>
      <c r="D118" s="2" t="s">
        <v>11</v>
      </c>
      <c r="F118" s="2"/>
      <c r="G118" s="2" t="s">
        <v>11</v>
      </c>
      <c r="H118" s="2"/>
      <c r="I118" s="2"/>
    </row>
    <row r="119" spans="1:9" x14ac:dyDescent="0.25">
      <c r="A119" s="2"/>
      <c r="B119" s="2"/>
      <c r="D119" s="2"/>
      <c r="F119" s="2"/>
      <c r="G119" s="2"/>
      <c r="H119" s="2"/>
      <c r="I119" s="2"/>
    </row>
    <row r="120" spans="1:9" x14ac:dyDescent="0.25">
      <c r="A120" s="2"/>
      <c r="B120" s="2"/>
      <c r="D120" s="2"/>
      <c r="F120" s="2"/>
      <c r="G120" s="2"/>
      <c r="H120" s="2"/>
      <c r="I120" s="2"/>
    </row>
    <row r="121" spans="1:9" x14ac:dyDescent="0.25">
      <c r="A121" s="2"/>
      <c r="B121" s="2"/>
      <c r="D121" s="2"/>
      <c r="F121" s="2"/>
      <c r="G121" s="2"/>
      <c r="H121" s="2"/>
      <c r="I121" s="2"/>
    </row>
    <row r="122" spans="1:9" x14ac:dyDescent="0.25">
      <c r="A122" s="2"/>
      <c r="B122" s="11" t="s">
        <v>12</v>
      </c>
      <c r="C122" s="10"/>
      <c r="D122" s="10" t="s">
        <v>13</v>
      </c>
      <c r="F122" s="2"/>
      <c r="G122" s="10" t="s">
        <v>13</v>
      </c>
      <c r="H122" s="2"/>
      <c r="I122" s="2"/>
    </row>
    <row r="123" spans="1:9" x14ac:dyDescent="0.25">
      <c r="A123" s="2"/>
      <c r="B123" s="16" t="s">
        <v>15</v>
      </c>
      <c r="C123" s="16"/>
      <c r="D123" s="16" t="s">
        <v>16</v>
      </c>
      <c r="F123" s="2"/>
      <c r="G123" s="16" t="s">
        <v>16</v>
      </c>
      <c r="H123" s="2"/>
      <c r="I123" s="2"/>
    </row>
    <row r="124" spans="1:9" x14ac:dyDescent="0.25">
      <c r="A124" s="2"/>
      <c r="C124" s="3"/>
      <c r="D124" s="2"/>
      <c r="F124" s="3"/>
      <c r="G124" s="3"/>
      <c r="H124" s="3"/>
      <c r="I124" s="3"/>
    </row>
    <row r="134" spans="28:28" x14ac:dyDescent="0.25">
      <c r="AB134" s="9"/>
    </row>
  </sheetData>
  <mergeCells count="11">
    <mergeCell ref="H7:H8"/>
    <mergeCell ref="I7:I8"/>
    <mergeCell ref="A97:I97"/>
    <mergeCell ref="A98:C98"/>
    <mergeCell ref="D98:I98"/>
    <mergeCell ref="A7:B8"/>
    <mergeCell ref="C7:C8"/>
    <mergeCell ref="D7:D8"/>
    <mergeCell ref="E7:E8"/>
    <mergeCell ref="F7:F8"/>
    <mergeCell ref="G7:G8"/>
  </mergeCells>
  <printOptions horizontalCentered="1" verticalCentered="1"/>
  <pageMargins left="0.5" right="0.5" top="0.5" bottom="0.8" header="0" footer="0.5"/>
  <pageSetup paperSize="172" scale="74" orientation="landscape" r:id="rId1"/>
  <headerFooter>
    <oddFooter>&amp;CPage &amp;P of &amp;[3</oddFooter>
  </headerFooter>
  <rowBreaks count="2" manualBreakCount="2">
    <brk id="56" max="8" man="1"/>
    <brk id="93" max="8"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7"/>
  <dimension ref="A1:Q160"/>
  <sheetViews>
    <sheetView showGridLines="0" view="pageBreakPreview" topLeftCell="D1" zoomScale="55" zoomScaleNormal="85" zoomScaleSheetLayoutView="55" zoomScalePageLayoutView="60" workbookViewId="0">
      <pane ySplit="1840" topLeftCell="A7" activePane="bottomLeft"/>
      <selection activeCell="G1" sqref="G1"/>
      <selection pane="bottomLeft" activeCell="M36" sqref="M36"/>
    </sheetView>
  </sheetViews>
  <sheetFormatPr baseColWidth="10" defaultColWidth="9.1640625" defaultRowHeight="19" x14ac:dyDescent="0.25"/>
  <cols>
    <col min="1" max="1" width="12.5" style="3" customWidth="1"/>
    <col min="2" max="2" width="13" style="3" customWidth="1"/>
    <col min="3" max="3" width="90.6640625" style="2" customWidth="1"/>
    <col min="4" max="4" width="13" style="3" customWidth="1"/>
    <col min="5" max="5" width="12" style="3" customWidth="1"/>
    <col min="6" max="6" width="22" style="4" customWidth="1"/>
    <col min="7" max="7" width="20.83203125" style="4" customWidth="1"/>
    <col min="8" max="9" width="18.6640625" style="4" customWidth="1"/>
    <col min="10" max="10" width="20.5" style="4" customWidth="1"/>
    <col min="11" max="12" width="18.6640625" style="4" customWidth="1"/>
    <col min="13" max="13" width="28.5" style="4" customWidth="1"/>
    <col min="14" max="14" width="16" style="2" bestFit="1" customWidth="1"/>
    <col min="15" max="15" width="21.5" style="2" customWidth="1"/>
    <col min="16" max="16" width="14.5" style="2" bestFit="1" customWidth="1"/>
    <col min="17" max="17" width="16.5" style="2" bestFit="1" customWidth="1"/>
    <col min="18" max="18" width="14.33203125" style="2" bestFit="1" customWidth="1"/>
    <col min="19" max="31" width="9.1640625" style="2"/>
    <col min="32" max="32" width="18.5" style="2" bestFit="1" customWidth="1"/>
    <col min="33" max="16384" width="9.1640625" style="2"/>
  </cols>
  <sheetData>
    <row r="1" spans="1:15" x14ac:dyDescent="0.25">
      <c r="A1" s="46" t="s">
        <v>6</v>
      </c>
      <c r="B1" s="10" t="s">
        <v>271</v>
      </c>
      <c r="C1" s="11"/>
      <c r="D1" s="12"/>
      <c r="E1" s="12"/>
      <c r="F1" s="13"/>
      <c r="G1" s="13"/>
      <c r="H1" s="13"/>
      <c r="I1" s="13"/>
      <c r="J1" s="13"/>
      <c r="K1" s="13"/>
      <c r="L1" s="13"/>
      <c r="M1" s="13"/>
    </row>
    <row r="2" spans="1:15" x14ac:dyDescent="0.25">
      <c r="A2" s="46" t="s">
        <v>8</v>
      </c>
      <c r="B2" s="10" t="s">
        <v>9</v>
      </c>
      <c r="C2" s="11"/>
      <c r="D2" s="12"/>
      <c r="E2" s="12"/>
      <c r="F2" s="13"/>
      <c r="G2" s="13"/>
      <c r="H2" s="13" t="s">
        <v>190</v>
      </c>
      <c r="I2" s="13"/>
      <c r="J2" s="13"/>
      <c r="K2" s="13"/>
      <c r="L2" s="13"/>
      <c r="M2" s="13"/>
    </row>
    <row r="3" spans="1:15" hidden="1" x14ac:dyDescent="0.25">
      <c r="A3" s="46" t="s">
        <v>95</v>
      </c>
      <c r="B3" s="10" t="s">
        <v>96</v>
      </c>
      <c r="C3" s="11"/>
      <c r="D3" s="12"/>
      <c r="E3" s="12"/>
      <c r="F3" s="13"/>
      <c r="G3" s="13"/>
      <c r="H3" s="13"/>
      <c r="I3" s="13"/>
      <c r="J3" s="13"/>
      <c r="K3" s="13"/>
      <c r="L3" s="13"/>
      <c r="M3" s="13"/>
    </row>
    <row r="4" spans="1:15" x14ac:dyDescent="0.25">
      <c r="A4" s="46" t="s">
        <v>137</v>
      </c>
      <c r="B4" s="10" t="s">
        <v>218</v>
      </c>
      <c r="C4" s="11"/>
      <c r="D4" s="12"/>
      <c r="E4" s="12"/>
      <c r="F4" s="13"/>
      <c r="G4" s="13"/>
      <c r="H4" s="13"/>
      <c r="I4" s="13"/>
      <c r="J4" s="13"/>
      <c r="K4" s="13"/>
      <c r="L4" s="13"/>
      <c r="M4" s="13"/>
    </row>
    <row r="5" spans="1:15" x14ac:dyDescent="0.25">
      <c r="A5" s="10"/>
      <c r="B5" s="10"/>
      <c r="C5" s="14"/>
      <c r="D5" s="12"/>
      <c r="E5" s="12"/>
      <c r="F5" s="13"/>
      <c r="G5" s="13"/>
      <c r="H5" s="13"/>
      <c r="I5" s="13"/>
      <c r="J5" s="13"/>
      <c r="K5" s="13"/>
      <c r="L5" s="13"/>
      <c r="M5" s="13"/>
    </row>
    <row r="6" spans="1:15" x14ac:dyDescent="0.25">
      <c r="A6" s="10"/>
      <c r="B6" s="10"/>
      <c r="C6" s="14"/>
      <c r="D6" s="12"/>
      <c r="E6" s="12"/>
      <c r="F6" s="13"/>
      <c r="G6" s="13"/>
      <c r="H6" s="13"/>
      <c r="I6" s="13"/>
      <c r="J6" s="13"/>
      <c r="K6" s="13"/>
      <c r="L6" s="13"/>
      <c r="M6" s="13"/>
    </row>
    <row r="8" spans="1:15" s="5" customFormat="1" ht="18.75" customHeight="1" x14ac:dyDescent="0.15">
      <c r="A8" s="871" t="s">
        <v>138</v>
      </c>
      <c r="B8" s="871"/>
      <c r="C8" s="872" t="s">
        <v>19</v>
      </c>
      <c r="D8" s="872" t="s">
        <v>2</v>
      </c>
      <c r="E8" s="872" t="s">
        <v>0</v>
      </c>
      <c r="F8" s="879" t="s">
        <v>287</v>
      </c>
      <c r="G8" s="880"/>
      <c r="H8" s="881" t="s">
        <v>4</v>
      </c>
      <c r="I8" s="881" t="s">
        <v>231</v>
      </c>
      <c r="J8" s="883" t="s">
        <v>139</v>
      </c>
      <c r="K8" s="883" t="s">
        <v>140</v>
      </c>
      <c r="L8" s="883" t="s">
        <v>4</v>
      </c>
      <c r="M8" s="865" t="s">
        <v>232</v>
      </c>
    </row>
    <row r="9" spans="1:15" s="5" customFormat="1" ht="23.25" customHeight="1" x14ac:dyDescent="0.15">
      <c r="A9" s="871"/>
      <c r="B9" s="871"/>
      <c r="C9" s="872"/>
      <c r="D9" s="872"/>
      <c r="E9" s="872"/>
      <c r="F9" s="83" t="s">
        <v>139</v>
      </c>
      <c r="G9" s="83" t="s">
        <v>140</v>
      </c>
      <c r="H9" s="882"/>
      <c r="I9" s="882"/>
      <c r="J9" s="883"/>
      <c r="K9" s="883"/>
      <c r="L9" s="883"/>
      <c r="M9" s="865"/>
    </row>
    <row r="10" spans="1:15" s="5" customFormat="1" ht="23.25" hidden="1" customHeight="1" x14ac:dyDescent="0.15">
      <c r="A10" s="84">
        <v>1</v>
      </c>
      <c r="B10" s="68"/>
      <c r="C10" s="66" t="s">
        <v>142</v>
      </c>
      <c r="D10" s="85"/>
      <c r="E10" s="85"/>
      <c r="F10" s="83"/>
      <c r="G10" s="83"/>
      <c r="H10" s="83"/>
      <c r="I10" s="83"/>
      <c r="J10" s="83"/>
      <c r="K10" s="83"/>
      <c r="L10" s="83"/>
      <c r="M10" s="83"/>
      <c r="O10" s="72"/>
    </row>
    <row r="11" spans="1:15" ht="20" hidden="1" x14ac:dyDescent="0.25">
      <c r="A11" s="1"/>
      <c r="B11" s="68">
        <f>1+0.01</f>
        <v>1.01</v>
      </c>
      <c r="C11" s="53" t="s">
        <v>169</v>
      </c>
      <c r="D11" s="1">
        <v>1</v>
      </c>
      <c r="E11" s="1" t="s">
        <v>18</v>
      </c>
      <c r="F11" s="54">
        <v>15000</v>
      </c>
      <c r="G11" s="54" t="s">
        <v>177</v>
      </c>
      <c r="H11" s="54"/>
      <c r="I11" s="54"/>
      <c r="J11" s="54"/>
      <c r="K11" s="54"/>
      <c r="L11" s="54"/>
      <c r="M11" s="69"/>
    </row>
    <row r="12" spans="1:15" ht="20" hidden="1" x14ac:dyDescent="0.25">
      <c r="A12" s="1"/>
      <c r="B12" s="68">
        <f>B11+0.01</f>
        <v>1.02</v>
      </c>
      <c r="C12" s="53" t="s">
        <v>170</v>
      </c>
      <c r="D12" s="1">
        <v>1</v>
      </c>
      <c r="E12" s="1" t="s">
        <v>18</v>
      </c>
      <c r="F12" s="54">
        <v>4500</v>
      </c>
      <c r="G12" s="54"/>
      <c r="H12" s="54"/>
      <c r="I12" s="54"/>
      <c r="J12" s="54"/>
      <c r="K12" s="54"/>
      <c r="L12" s="54"/>
      <c r="M12" s="69"/>
    </row>
    <row r="13" spans="1:15" s="5" customFormat="1" ht="23.25" hidden="1" customHeight="1" x14ac:dyDescent="0.15">
      <c r="A13" s="68"/>
      <c r="B13" s="68">
        <f t="shared" ref="B13:B24" si="0">B12+0.01</f>
        <v>1.03</v>
      </c>
      <c r="C13" s="67" t="s">
        <v>143</v>
      </c>
      <c r="D13" s="1">
        <v>2</v>
      </c>
      <c r="E13" s="1" t="s">
        <v>18</v>
      </c>
      <c r="F13" s="70">
        <v>6500</v>
      </c>
      <c r="G13" s="70"/>
      <c r="H13" s="70"/>
      <c r="I13" s="70"/>
      <c r="J13" s="70"/>
      <c r="K13" s="70"/>
      <c r="L13" s="70"/>
      <c r="M13" s="73"/>
    </row>
    <row r="14" spans="1:15" ht="20" hidden="1" x14ac:dyDescent="0.25">
      <c r="A14" s="1"/>
      <c r="B14" s="68">
        <f t="shared" si="0"/>
        <v>1.04</v>
      </c>
      <c r="C14" s="53" t="s">
        <v>145</v>
      </c>
      <c r="D14" s="1">
        <v>4</v>
      </c>
      <c r="E14" s="1" t="s">
        <v>18</v>
      </c>
      <c r="F14" s="54">
        <v>4000</v>
      </c>
      <c r="G14" s="54"/>
      <c r="H14" s="54"/>
      <c r="I14" s="54"/>
      <c r="J14" s="54"/>
      <c r="K14" s="54"/>
      <c r="L14" s="54"/>
      <c r="M14" s="69"/>
    </row>
    <row r="15" spans="1:15" ht="20" hidden="1" x14ac:dyDescent="0.25">
      <c r="A15" s="1"/>
      <c r="B15" s="68">
        <f t="shared" si="0"/>
        <v>1.05</v>
      </c>
      <c r="C15" s="53" t="s">
        <v>160</v>
      </c>
      <c r="D15" s="1">
        <v>1</v>
      </c>
      <c r="E15" s="1" t="s">
        <v>1</v>
      </c>
      <c r="F15" s="54"/>
      <c r="G15" s="54"/>
      <c r="H15" s="54"/>
      <c r="I15" s="54"/>
      <c r="J15" s="54"/>
      <c r="K15" s="54"/>
      <c r="L15" s="54"/>
      <c r="M15" s="69"/>
    </row>
    <row r="16" spans="1:15" s="5" customFormat="1" ht="23.25" hidden="1" customHeight="1" x14ac:dyDescent="0.15">
      <c r="A16" s="68"/>
      <c r="B16" s="68">
        <f t="shared" si="0"/>
        <v>1.06</v>
      </c>
      <c r="C16" s="67" t="s">
        <v>144</v>
      </c>
      <c r="D16" s="1">
        <v>1</v>
      </c>
      <c r="E16" s="1" t="s">
        <v>1</v>
      </c>
      <c r="F16" s="70">
        <v>35000</v>
      </c>
      <c r="G16" s="70"/>
      <c r="H16" s="70"/>
      <c r="I16" s="70"/>
      <c r="J16" s="70"/>
      <c r="K16" s="70"/>
      <c r="L16" s="70"/>
      <c r="M16" s="73"/>
    </row>
    <row r="17" spans="1:15" ht="20" hidden="1" x14ac:dyDescent="0.25">
      <c r="A17" s="1"/>
      <c r="B17" s="68">
        <f t="shared" si="0"/>
        <v>1.07</v>
      </c>
      <c r="C17" s="53" t="s">
        <v>159</v>
      </c>
      <c r="D17" s="1">
        <v>8</v>
      </c>
      <c r="E17" s="1" t="s">
        <v>18</v>
      </c>
      <c r="F17" s="54">
        <v>4000</v>
      </c>
      <c r="G17" s="54"/>
      <c r="H17" s="54"/>
      <c r="I17" s="54"/>
      <c r="J17" s="54"/>
      <c r="K17" s="54"/>
      <c r="L17" s="54"/>
      <c r="M17" s="69"/>
    </row>
    <row r="18" spans="1:15" ht="20" hidden="1" x14ac:dyDescent="0.25">
      <c r="A18" s="1"/>
      <c r="B18" s="68">
        <f t="shared" si="0"/>
        <v>1.08</v>
      </c>
      <c r="C18" s="53" t="s">
        <v>158</v>
      </c>
      <c r="D18" s="1">
        <v>2</v>
      </c>
      <c r="E18" s="1" t="s">
        <v>18</v>
      </c>
      <c r="F18" s="54"/>
      <c r="G18" s="54"/>
      <c r="H18" s="54"/>
      <c r="I18" s="54"/>
      <c r="J18" s="54"/>
      <c r="K18" s="54"/>
      <c r="L18" s="54"/>
      <c r="M18" s="69"/>
    </row>
    <row r="19" spans="1:15" ht="20" hidden="1" x14ac:dyDescent="0.25">
      <c r="A19" s="1"/>
      <c r="B19" s="68">
        <f t="shared" si="0"/>
        <v>1.0900000000000001</v>
      </c>
      <c r="C19" s="53" t="s">
        <v>157</v>
      </c>
      <c r="D19" s="1">
        <v>1</v>
      </c>
      <c r="E19" s="1" t="s">
        <v>18</v>
      </c>
      <c r="F19" s="54"/>
      <c r="G19" s="54"/>
      <c r="H19" s="54"/>
      <c r="I19" s="54"/>
      <c r="J19" s="54"/>
      <c r="K19" s="54"/>
      <c r="L19" s="54"/>
      <c r="M19" s="69"/>
    </row>
    <row r="20" spans="1:15" ht="20" hidden="1" x14ac:dyDescent="0.25">
      <c r="A20" s="1"/>
      <c r="B20" s="68">
        <f t="shared" si="0"/>
        <v>1.1000000000000001</v>
      </c>
      <c r="C20" s="53" t="s">
        <v>162</v>
      </c>
      <c r="D20" s="1">
        <v>3</v>
      </c>
      <c r="E20" s="1" t="s">
        <v>18</v>
      </c>
      <c r="F20" s="54"/>
      <c r="G20" s="54"/>
      <c r="H20" s="54"/>
      <c r="I20" s="54"/>
      <c r="J20" s="54"/>
      <c r="K20" s="54"/>
      <c r="L20" s="54"/>
      <c r="M20" s="69"/>
    </row>
    <row r="21" spans="1:15" ht="20" hidden="1" x14ac:dyDescent="0.25">
      <c r="A21" s="1"/>
      <c r="B21" s="68">
        <f t="shared" si="0"/>
        <v>1.1100000000000001</v>
      </c>
      <c r="C21" s="53" t="s">
        <v>161</v>
      </c>
      <c r="D21" s="1">
        <v>1</v>
      </c>
      <c r="E21" s="1" t="s">
        <v>18</v>
      </c>
      <c r="F21" s="54"/>
      <c r="G21" s="54"/>
      <c r="H21" s="54"/>
      <c r="I21" s="54"/>
      <c r="J21" s="54"/>
      <c r="K21" s="54"/>
      <c r="L21" s="54"/>
      <c r="M21" s="69"/>
    </row>
    <row r="22" spans="1:15" ht="20" hidden="1" x14ac:dyDescent="0.25">
      <c r="A22" s="1"/>
      <c r="B22" s="68">
        <f t="shared" si="0"/>
        <v>1.1200000000000001</v>
      </c>
      <c r="C22" s="53" t="s">
        <v>163</v>
      </c>
      <c r="D22" s="1">
        <v>2</v>
      </c>
      <c r="E22" s="1" t="s">
        <v>18</v>
      </c>
      <c r="F22" s="54"/>
      <c r="G22" s="54"/>
      <c r="H22" s="54"/>
      <c r="I22" s="54"/>
      <c r="J22" s="54"/>
      <c r="K22" s="54"/>
      <c r="L22" s="54"/>
      <c r="M22" s="69"/>
    </row>
    <row r="23" spans="1:15" ht="20" hidden="1" x14ac:dyDescent="0.25">
      <c r="A23" s="1"/>
      <c r="B23" s="68">
        <f t="shared" si="0"/>
        <v>1.1300000000000001</v>
      </c>
      <c r="C23" s="53" t="s">
        <v>164</v>
      </c>
      <c r="D23" s="1">
        <v>1</v>
      </c>
      <c r="E23" s="1" t="s">
        <v>18</v>
      </c>
      <c r="F23" s="54"/>
      <c r="G23" s="54"/>
      <c r="H23" s="54"/>
      <c r="I23" s="54"/>
      <c r="J23" s="54"/>
      <c r="K23" s="54"/>
      <c r="L23" s="54"/>
      <c r="M23" s="69"/>
    </row>
    <row r="24" spans="1:15" ht="20" hidden="1" x14ac:dyDescent="0.25">
      <c r="A24" s="1"/>
      <c r="B24" s="68">
        <f t="shared" si="0"/>
        <v>1.1400000000000001</v>
      </c>
      <c r="C24" s="53" t="s">
        <v>165</v>
      </c>
      <c r="D24" s="1">
        <v>1</v>
      </c>
      <c r="E24" s="1" t="s">
        <v>18</v>
      </c>
      <c r="F24" s="54"/>
      <c r="G24" s="54"/>
      <c r="H24" s="54"/>
      <c r="I24" s="54"/>
      <c r="J24" s="54"/>
      <c r="K24" s="54"/>
      <c r="L24" s="54"/>
      <c r="M24" s="69"/>
    </row>
    <row r="25" spans="1:15" s="11" customFormat="1" ht="20" hidden="1" x14ac:dyDescent="0.25">
      <c r="A25" s="85">
        <v>2</v>
      </c>
      <c r="B25" s="74"/>
      <c r="C25" s="57" t="s">
        <v>148</v>
      </c>
      <c r="D25" s="1"/>
      <c r="E25" s="1"/>
      <c r="F25" s="54"/>
      <c r="G25" s="54"/>
      <c r="H25" s="54"/>
      <c r="I25" s="54"/>
      <c r="J25" s="54"/>
      <c r="K25" s="54"/>
      <c r="L25" s="54"/>
      <c r="M25" s="69"/>
      <c r="O25" s="15"/>
    </row>
    <row r="26" spans="1:15" s="5" customFormat="1" hidden="1" x14ac:dyDescent="0.15">
      <c r="A26" s="68"/>
      <c r="B26" s="1">
        <v>2.0099999999999998</v>
      </c>
      <c r="C26" s="67" t="s">
        <v>149</v>
      </c>
      <c r="D26" s="1">
        <v>1</v>
      </c>
      <c r="E26" s="1" t="s">
        <v>1</v>
      </c>
      <c r="F26" s="70">
        <v>30000</v>
      </c>
      <c r="G26" s="70"/>
      <c r="H26" s="70"/>
      <c r="I26" s="70"/>
      <c r="J26" s="70"/>
      <c r="K26" s="70"/>
      <c r="L26" s="70"/>
      <c r="M26" s="73"/>
    </row>
    <row r="27" spans="1:15" ht="20" hidden="1" x14ac:dyDescent="0.25">
      <c r="A27" s="1"/>
      <c r="B27" s="1">
        <v>2.02</v>
      </c>
      <c r="C27" s="53" t="s">
        <v>155</v>
      </c>
      <c r="D27" s="1">
        <v>5</v>
      </c>
      <c r="E27" s="1" t="s">
        <v>1</v>
      </c>
      <c r="F27" s="54">
        <v>60000</v>
      </c>
      <c r="G27" s="54"/>
      <c r="H27" s="54"/>
      <c r="I27" s="54"/>
      <c r="J27" s="54"/>
      <c r="K27" s="54"/>
      <c r="L27" s="54"/>
      <c r="M27" s="69"/>
    </row>
    <row r="28" spans="1:15" ht="18.75" customHeight="1" x14ac:dyDescent="0.25">
      <c r="A28" s="85">
        <v>1</v>
      </c>
      <c r="B28" s="1"/>
      <c r="C28" s="55" t="s">
        <v>146</v>
      </c>
      <c r="D28" s="1"/>
      <c r="E28" s="1"/>
      <c r="F28" s="54"/>
      <c r="G28" s="54"/>
      <c r="H28" s="54"/>
      <c r="I28" s="54"/>
      <c r="J28" s="54"/>
      <c r="K28" s="54"/>
      <c r="L28" s="54"/>
      <c r="M28" s="69"/>
      <c r="O28" s="15"/>
    </row>
    <row r="29" spans="1:15" s="11" customFormat="1" ht="18.75" customHeight="1" x14ac:dyDescent="0.25">
      <c r="A29" s="74"/>
      <c r="B29" s="1">
        <v>1.01</v>
      </c>
      <c r="C29" s="56" t="s">
        <v>156</v>
      </c>
      <c r="D29" s="1">
        <v>1</v>
      </c>
      <c r="E29" s="1" t="s">
        <v>197</v>
      </c>
      <c r="F29" s="54">
        <v>34000</v>
      </c>
      <c r="G29" s="54">
        <v>1000</v>
      </c>
      <c r="H29" s="54">
        <f t="shared" ref="H29:H35" si="1">0.22*(F29+G29)</f>
        <v>7700</v>
      </c>
      <c r="I29" s="54">
        <f t="shared" ref="I29:I35" si="2">SUM(F29:H29)</f>
        <v>42700</v>
      </c>
      <c r="J29" s="54">
        <f t="shared" ref="J29:J35" si="3">D29*F29</f>
        <v>34000</v>
      </c>
      <c r="K29" s="54">
        <f t="shared" ref="K29:K35" si="4">D29*G29</f>
        <v>1000</v>
      </c>
      <c r="L29" s="54">
        <f t="shared" ref="L29:L35" si="5">D29*H29</f>
        <v>7700</v>
      </c>
      <c r="M29" s="69">
        <f t="shared" ref="M29:M35" si="6">SUM(J29:L29)</f>
        <v>42700</v>
      </c>
      <c r="N29" s="91"/>
    </row>
    <row r="30" spans="1:15" s="11" customFormat="1" ht="18.75" customHeight="1" x14ac:dyDescent="0.25">
      <c r="A30" s="74"/>
      <c r="B30" s="1">
        <v>1.01</v>
      </c>
      <c r="C30" s="56" t="s">
        <v>289</v>
      </c>
      <c r="D30" s="1">
        <v>3</v>
      </c>
      <c r="E30" s="1" t="s">
        <v>197</v>
      </c>
      <c r="F30" s="54">
        <v>31000</v>
      </c>
      <c r="G30" s="54">
        <v>1000</v>
      </c>
      <c r="H30" s="54">
        <f t="shared" si="1"/>
        <v>7040</v>
      </c>
      <c r="I30" s="54">
        <f t="shared" si="2"/>
        <v>39040</v>
      </c>
      <c r="J30" s="54">
        <f t="shared" si="3"/>
        <v>93000</v>
      </c>
      <c r="K30" s="54">
        <f t="shared" si="4"/>
        <v>3000</v>
      </c>
      <c r="L30" s="54">
        <f t="shared" si="5"/>
        <v>21120</v>
      </c>
      <c r="M30" s="69">
        <f>SUM(J30:L30)</f>
        <v>117120</v>
      </c>
      <c r="N30" s="91"/>
    </row>
    <row r="31" spans="1:15" s="11" customFormat="1" ht="18.75" customHeight="1" x14ac:dyDescent="0.25">
      <c r="A31" s="74"/>
      <c r="B31" s="1">
        <f>B29+0.01</f>
        <v>1.02</v>
      </c>
      <c r="C31" s="56" t="s">
        <v>215</v>
      </c>
      <c r="D31" s="1">
        <v>1</v>
      </c>
      <c r="E31" s="1" t="s">
        <v>197</v>
      </c>
      <c r="F31" s="54">
        <v>26000</v>
      </c>
      <c r="G31" s="54">
        <v>1000</v>
      </c>
      <c r="H31" s="54">
        <f t="shared" si="1"/>
        <v>5940</v>
      </c>
      <c r="I31" s="54">
        <f t="shared" si="2"/>
        <v>32940</v>
      </c>
      <c r="J31" s="54">
        <f t="shared" si="3"/>
        <v>26000</v>
      </c>
      <c r="K31" s="54">
        <f t="shared" si="4"/>
        <v>1000</v>
      </c>
      <c r="L31" s="54">
        <f t="shared" si="5"/>
        <v>5940</v>
      </c>
      <c r="M31" s="69">
        <f t="shared" si="6"/>
        <v>32940</v>
      </c>
      <c r="N31" s="91"/>
    </row>
    <row r="32" spans="1:15" s="11" customFormat="1" ht="18.75" customHeight="1" x14ac:dyDescent="0.25">
      <c r="A32" s="74"/>
      <c r="B32" s="1">
        <f>B31+0.01</f>
        <v>1.03</v>
      </c>
      <c r="C32" s="56" t="s">
        <v>216</v>
      </c>
      <c r="D32" s="1">
        <v>1</v>
      </c>
      <c r="E32" s="1" t="s">
        <v>197</v>
      </c>
      <c r="F32" s="54">
        <v>23000</v>
      </c>
      <c r="G32" s="54">
        <v>1000</v>
      </c>
      <c r="H32" s="54">
        <f t="shared" si="1"/>
        <v>5280</v>
      </c>
      <c r="I32" s="54">
        <f t="shared" si="2"/>
        <v>29280</v>
      </c>
      <c r="J32" s="54">
        <f t="shared" si="3"/>
        <v>23000</v>
      </c>
      <c r="K32" s="54">
        <f t="shared" si="4"/>
        <v>1000</v>
      </c>
      <c r="L32" s="54">
        <f t="shared" si="5"/>
        <v>5280</v>
      </c>
      <c r="M32" s="69">
        <f t="shared" si="6"/>
        <v>29280</v>
      </c>
      <c r="N32" s="91"/>
    </row>
    <row r="33" spans="1:15" s="6" customFormat="1" ht="18.75" customHeight="1" x14ac:dyDescent="0.25">
      <c r="A33" s="1"/>
      <c r="B33" s="1">
        <f>B32+0.01</f>
        <v>1.04</v>
      </c>
      <c r="C33" s="53" t="s">
        <v>235</v>
      </c>
      <c r="D33" s="1">
        <v>1</v>
      </c>
      <c r="E33" s="1" t="s">
        <v>197</v>
      </c>
      <c r="F33" s="54">
        <v>1600</v>
      </c>
      <c r="G33" s="54">
        <v>480</v>
      </c>
      <c r="H33" s="54">
        <f t="shared" si="1"/>
        <v>457.6</v>
      </c>
      <c r="I33" s="54">
        <f t="shared" si="2"/>
        <v>2537.6</v>
      </c>
      <c r="J33" s="54">
        <f t="shared" si="3"/>
        <v>1600</v>
      </c>
      <c r="K33" s="54">
        <f t="shared" si="4"/>
        <v>480</v>
      </c>
      <c r="L33" s="54">
        <f t="shared" si="5"/>
        <v>457.6</v>
      </c>
      <c r="M33" s="69">
        <f t="shared" si="6"/>
        <v>2537.6</v>
      </c>
      <c r="N33" s="91"/>
    </row>
    <row r="34" spans="1:15" s="6" customFormat="1" ht="18.75" customHeight="1" x14ac:dyDescent="0.25">
      <c r="A34" s="1"/>
      <c r="B34" s="1">
        <f>B33+0.01</f>
        <v>1.05</v>
      </c>
      <c r="C34" s="53" t="s">
        <v>237</v>
      </c>
      <c r="D34" s="1">
        <v>1</v>
      </c>
      <c r="E34" s="1" t="s">
        <v>197</v>
      </c>
      <c r="F34" s="54">
        <v>400</v>
      </c>
      <c r="G34" s="54">
        <v>120</v>
      </c>
      <c r="H34" s="54">
        <f t="shared" si="1"/>
        <v>114.4</v>
      </c>
      <c r="I34" s="54">
        <f t="shared" si="2"/>
        <v>634.4</v>
      </c>
      <c r="J34" s="54">
        <f t="shared" si="3"/>
        <v>400</v>
      </c>
      <c r="K34" s="54">
        <f t="shared" si="4"/>
        <v>120</v>
      </c>
      <c r="L34" s="54">
        <f t="shared" si="5"/>
        <v>114.4</v>
      </c>
      <c r="M34" s="69">
        <f t="shared" si="6"/>
        <v>634.4</v>
      </c>
      <c r="N34" s="91"/>
    </row>
    <row r="35" spans="1:15" s="6" customFormat="1" ht="18.75" customHeight="1" x14ac:dyDescent="0.25">
      <c r="A35" s="1"/>
      <c r="B35" s="1">
        <f>B34+0.01</f>
        <v>1.06</v>
      </c>
      <c r="C35" s="53" t="s">
        <v>236</v>
      </c>
      <c r="D35" s="1">
        <v>1</v>
      </c>
      <c r="E35" s="1" t="s">
        <v>197</v>
      </c>
      <c r="F35" s="54">
        <v>520</v>
      </c>
      <c r="G35" s="54">
        <v>150</v>
      </c>
      <c r="H35" s="54">
        <f t="shared" si="1"/>
        <v>147.4</v>
      </c>
      <c r="I35" s="54">
        <f t="shared" si="2"/>
        <v>817.4</v>
      </c>
      <c r="J35" s="54">
        <f t="shared" si="3"/>
        <v>520</v>
      </c>
      <c r="K35" s="54">
        <f t="shared" si="4"/>
        <v>150</v>
      </c>
      <c r="L35" s="54">
        <f t="shared" si="5"/>
        <v>147.4</v>
      </c>
      <c r="M35" s="69">
        <f t="shared" si="6"/>
        <v>817.4</v>
      </c>
      <c r="N35" s="91"/>
    </row>
    <row r="36" spans="1:15" s="6" customFormat="1" ht="18.75" customHeight="1" x14ac:dyDescent="0.15">
      <c r="A36" s="1"/>
      <c r="B36" s="1"/>
      <c r="C36" s="53"/>
      <c r="D36" s="1"/>
      <c r="E36" s="1"/>
      <c r="G36" s="80"/>
      <c r="H36" s="80"/>
      <c r="I36" s="54"/>
      <c r="J36" s="54"/>
      <c r="K36" s="54"/>
      <c r="L36" s="80" t="s">
        <v>208</v>
      </c>
      <c r="M36" s="81">
        <f>SUM(M29:M35)</f>
        <v>226029.4</v>
      </c>
      <c r="N36" s="93"/>
      <c r="O36" s="79">
        <f>M36</f>
        <v>226029.4</v>
      </c>
    </row>
    <row r="37" spans="1:15" s="11" customFormat="1" ht="18.75" customHeight="1" x14ac:dyDescent="0.25">
      <c r="A37" s="85">
        <v>2</v>
      </c>
      <c r="B37" s="74"/>
      <c r="C37" s="57" t="s">
        <v>147</v>
      </c>
      <c r="D37" s="1"/>
      <c r="E37" s="1"/>
      <c r="F37" s="54"/>
      <c r="G37" s="54"/>
      <c r="H37" s="54"/>
      <c r="I37" s="54"/>
      <c r="J37" s="54"/>
      <c r="K37" s="54"/>
      <c r="L37" s="54"/>
      <c r="M37" s="69"/>
      <c r="O37" s="15"/>
    </row>
    <row r="38" spans="1:15" ht="18.75" customHeight="1" x14ac:dyDescent="0.25">
      <c r="A38" s="1"/>
      <c r="B38" s="68">
        <v>2.0099999999999998</v>
      </c>
      <c r="C38" s="53" t="s">
        <v>266</v>
      </c>
      <c r="D38" s="1">
        <v>4</v>
      </c>
      <c r="E38" s="1" t="s">
        <v>1</v>
      </c>
      <c r="F38" s="54">
        <v>10000</v>
      </c>
      <c r="G38" s="54">
        <v>500</v>
      </c>
      <c r="H38" s="54">
        <f t="shared" ref="H38:H43" si="7">0.22*(F38+G38)</f>
        <v>2310</v>
      </c>
      <c r="I38" s="54">
        <f t="shared" ref="I38:I124" si="8">SUM(F38:H38)</f>
        <v>12810</v>
      </c>
      <c r="J38" s="54">
        <f t="shared" ref="J38:J43" si="9">D38*F38</f>
        <v>40000</v>
      </c>
      <c r="K38" s="54">
        <f t="shared" ref="K38:K43" si="10">D38*G38</f>
        <v>2000</v>
      </c>
      <c r="L38" s="54">
        <f t="shared" ref="L38:L43" si="11">D38*H38</f>
        <v>9240</v>
      </c>
      <c r="M38" s="69">
        <f t="shared" ref="M38:M43" si="12">SUM(J38:L38)</f>
        <v>51240</v>
      </c>
      <c r="N38" s="91"/>
    </row>
    <row r="39" spans="1:15" ht="18.75" customHeight="1" x14ac:dyDescent="0.25">
      <c r="A39" s="1"/>
      <c r="B39" s="68">
        <f>B38+0.01</f>
        <v>2.0199999999999996</v>
      </c>
      <c r="C39" s="53" t="s">
        <v>267</v>
      </c>
      <c r="D39" s="1">
        <v>1</v>
      </c>
      <c r="E39" s="1" t="s">
        <v>1</v>
      </c>
      <c r="F39" s="54">
        <v>16000</v>
      </c>
      <c r="G39" s="54">
        <v>500</v>
      </c>
      <c r="H39" s="54">
        <f t="shared" si="7"/>
        <v>3630</v>
      </c>
      <c r="I39" s="54">
        <f t="shared" si="8"/>
        <v>20130</v>
      </c>
      <c r="J39" s="54">
        <f t="shared" si="9"/>
        <v>16000</v>
      </c>
      <c r="K39" s="54">
        <f t="shared" si="10"/>
        <v>500</v>
      </c>
      <c r="L39" s="54">
        <f t="shared" si="11"/>
        <v>3630</v>
      </c>
      <c r="M39" s="69">
        <f t="shared" si="12"/>
        <v>20130</v>
      </c>
      <c r="N39" s="91"/>
    </row>
    <row r="40" spans="1:15" ht="18.75" customHeight="1" x14ac:dyDescent="0.25">
      <c r="A40" s="1"/>
      <c r="B40" s="68">
        <f>B39+0.01</f>
        <v>2.0299999999999994</v>
      </c>
      <c r="C40" s="53" t="s">
        <v>201</v>
      </c>
      <c r="D40" s="1">
        <v>2</v>
      </c>
      <c r="E40" s="1" t="s">
        <v>1</v>
      </c>
      <c r="F40" s="54">
        <v>9000</v>
      </c>
      <c r="G40" s="54">
        <v>500</v>
      </c>
      <c r="H40" s="54">
        <f t="shared" si="7"/>
        <v>2090</v>
      </c>
      <c r="I40" s="54">
        <f t="shared" si="8"/>
        <v>11590</v>
      </c>
      <c r="J40" s="54">
        <f t="shared" si="9"/>
        <v>18000</v>
      </c>
      <c r="K40" s="54">
        <f t="shared" si="10"/>
        <v>1000</v>
      </c>
      <c r="L40" s="54">
        <f t="shared" si="11"/>
        <v>4180</v>
      </c>
      <c r="M40" s="69">
        <f t="shared" si="12"/>
        <v>23180</v>
      </c>
      <c r="N40" s="91"/>
    </row>
    <row r="41" spans="1:15" ht="18.75" customHeight="1" x14ac:dyDescent="0.25">
      <c r="A41" s="1"/>
      <c r="B41" s="68">
        <f>B40+0.01</f>
        <v>2.0399999999999991</v>
      </c>
      <c r="C41" s="53" t="s">
        <v>202</v>
      </c>
      <c r="D41" s="1">
        <v>2</v>
      </c>
      <c r="E41" s="1" t="s">
        <v>1</v>
      </c>
      <c r="F41" s="54">
        <v>12000</v>
      </c>
      <c r="G41" s="54">
        <v>500</v>
      </c>
      <c r="H41" s="54">
        <f t="shared" si="7"/>
        <v>2750</v>
      </c>
      <c r="I41" s="54">
        <f t="shared" si="8"/>
        <v>15250</v>
      </c>
      <c r="J41" s="54">
        <f t="shared" si="9"/>
        <v>24000</v>
      </c>
      <c r="K41" s="54">
        <f t="shared" si="10"/>
        <v>1000</v>
      </c>
      <c r="L41" s="54">
        <f t="shared" si="11"/>
        <v>5500</v>
      </c>
      <c r="M41" s="69">
        <f t="shared" si="12"/>
        <v>30500</v>
      </c>
      <c r="N41" s="91"/>
    </row>
    <row r="42" spans="1:15" ht="18.75" customHeight="1" x14ac:dyDescent="0.25">
      <c r="A42" s="1"/>
      <c r="B42" s="68">
        <f>B41+0.01</f>
        <v>2.0499999999999989</v>
      </c>
      <c r="C42" s="53" t="s">
        <v>219</v>
      </c>
      <c r="D42" s="1">
        <v>1</v>
      </c>
      <c r="E42" s="1" t="s">
        <v>1</v>
      </c>
      <c r="F42" s="54">
        <v>2500</v>
      </c>
      <c r="G42" s="54">
        <v>500</v>
      </c>
      <c r="H42" s="54">
        <f t="shared" si="7"/>
        <v>660</v>
      </c>
      <c r="I42" s="54">
        <f t="shared" si="8"/>
        <v>3660</v>
      </c>
      <c r="J42" s="54">
        <f t="shared" si="9"/>
        <v>2500</v>
      </c>
      <c r="K42" s="54">
        <f t="shared" si="10"/>
        <v>500</v>
      </c>
      <c r="L42" s="54">
        <f t="shared" si="11"/>
        <v>660</v>
      </c>
      <c r="M42" s="69">
        <f t="shared" si="12"/>
        <v>3660</v>
      </c>
      <c r="N42" s="91"/>
    </row>
    <row r="43" spans="1:15" ht="18.75" customHeight="1" x14ac:dyDescent="0.25">
      <c r="A43" s="1"/>
      <c r="B43" s="68">
        <f>B42+0.01</f>
        <v>2.0599999999999987</v>
      </c>
      <c r="C43" s="53" t="s">
        <v>272</v>
      </c>
      <c r="D43" s="1">
        <v>2</v>
      </c>
      <c r="E43" s="1" t="s">
        <v>1</v>
      </c>
      <c r="F43" s="54">
        <v>1500</v>
      </c>
      <c r="G43" s="54">
        <v>500</v>
      </c>
      <c r="H43" s="54">
        <f t="shared" si="7"/>
        <v>440</v>
      </c>
      <c r="I43" s="54">
        <f t="shared" si="8"/>
        <v>2440</v>
      </c>
      <c r="J43" s="54">
        <f t="shared" si="9"/>
        <v>3000</v>
      </c>
      <c r="K43" s="54">
        <f t="shared" si="10"/>
        <v>1000</v>
      </c>
      <c r="L43" s="54">
        <f t="shared" si="11"/>
        <v>880</v>
      </c>
      <c r="M43" s="69">
        <f t="shared" si="12"/>
        <v>4880</v>
      </c>
      <c r="N43" s="91"/>
    </row>
    <row r="44" spans="1:15" ht="18.75" customHeight="1" x14ac:dyDescent="0.25">
      <c r="A44" s="1"/>
      <c r="B44" s="68"/>
      <c r="C44" s="53"/>
      <c r="D44" s="1"/>
      <c r="E44" s="1"/>
      <c r="G44" s="80"/>
      <c r="H44" s="80"/>
      <c r="I44" s="54"/>
      <c r="J44" s="54"/>
      <c r="K44" s="54"/>
      <c r="L44" s="80" t="s">
        <v>208</v>
      </c>
      <c r="M44" s="81">
        <f>SUM(M38:M43)</f>
        <v>133590</v>
      </c>
      <c r="N44" s="92"/>
      <c r="O44" s="15">
        <f>M44</f>
        <v>133590</v>
      </c>
    </row>
    <row r="45" spans="1:15" s="11" customFormat="1" ht="18.75" customHeight="1" x14ac:dyDescent="0.25">
      <c r="A45" s="85">
        <v>3</v>
      </c>
      <c r="B45" s="74"/>
      <c r="C45" s="57" t="s">
        <v>288</v>
      </c>
      <c r="D45" s="1"/>
      <c r="E45" s="1"/>
      <c r="F45" s="54"/>
      <c r="G45" s="54"/>
      <c r="H45" s="54"/>
      <c r="I45" s="54"/>
      <c r="J45" s="54"/>
      <c r="K45" s="54"/>
      <c r="L45" s="54"/>
      <c r="M45" s="69"/>
      <c r="O45" s="15"/>
    </row>
    <row r="46" spans="1:15" s="11" customFormat="1" ht="18.75" customHeight="1" x14ac:dyDescent="0.25">
      <c r="A46" s="85"/>
      <c r="B46" s="74"/>
      <c r="C46" s="56" t="s">
        <v>282</v>
      </c>
      <c r="D46" s="1"/>
      <c r="E46" s="1"/>
      <c r="F46" s="54"/>
      <c r="G46" s="54"/>
      <c r="H46" s="54"/>
      <c r="I46" s="54"/>
      <c r="J46" s="54"/>
      <c r="K46" s="54"/>
      <c r="L46" s="54"/>
      <c r="M46" s="69"/>
      <c r="O46" s="15"/>
    </row>
    <row r="47" spans="1:15" s="5" customFormat="1" ht="18.75" customHeight="1" x14ac:dyDescent="0.15">
      <c r="A47" s="68"/>
      <c r="B47" s="1">
        <v>3.01</v>
      </c>
      <c r="C47" s="71" t="s">
        <v>194</v>
      </c>
      <c r="D47" s="1">
        <v>36</v>
      </c>
      <c r="E47" s="1" t="s">
        <v>197</v>
      </c>
      <c r="F47" s="70">
        <v>1350</v>
      </c>
      <c r="G47" s="70">
        <v>945</v>
      </c>
      <c r="H47" s="70">
        <f>0.22*(F47+G47)</f>
        <v>504.9</v>
      </c>
      <c r="I47" s="54">
        <f t="shared" si="8"/>
        <v>2799.9</v>
      </c>
      <c r="J47" s="54">
        <f>D47*F47</f>
        <v>48600</v>
      </c>
      <c r="K47" s="54">
        <f t="shared" ref="K47:K124" si="13">D47*G47</f>
        <v>34020</v>
      </c>
      <c r="L47" s="54">
        <f t="shared" ref="L47:L124" si="14">D47*H47</f>
        <v>18176.399999999998</v>
      </c>
      <c r="M47" s="69">
        <f>SUM(J47:L47)</f>
        <v>100796.4</v>
      </c>
    </row>
    <row r="48" spans="1:15" s="5" customFormat="1" ht="18.75" customHeight="1" x14ac:dyDescent="0.15">
      <c r="A48" s="68"/>
      <c r="B48" s="1">
        <f>0.01+B47</f>
        <v>3.0199999999999996</v>
      </c>
      <c r="C48" s="71" t="s">
        <v>176</v>
      </c>
      <c r="D48" s="1">
        <v>84</v>
      </c>
      <c r="E48" s="1" t="s">
        <v>197</v>
      </c>
      <c r="F48" s="70">
        <v>80</v>
      </c>
      <c r="G48" s="70">
        <v>56</v>
      </c>
      <c r="H48" s="70">
        <f t="shared" ref="H48:H65" si="15">0.22*(F48+G48)</f>
        <v>29.92</v>
      </c>
      <c r="I48" s="54">
        <f t="shared" si="8"/>
        <v>165.92000000000002</v>
      </c>
      <c r="J48" s="54">
        <f t="shared" ref="J48:J55" si="16">D48*F48</f>
        <v>6720</v>
      </c>
      <c r="K48" s="54">
        <f t="shared" si="13"/>
        <v>4704</v>
      </c>
      <c r="L48" s="54">
        <f t="shared" si="14"/>
        <v>2513.2800000000002</v>
      </c>
      <c r="M48" s="69">
        <f t="shared" ref="M48:M55" si="17">SUM(J48:L48)</f>
        <v>13937.28</v>
      </c>
    </row>
    <row r="49" spans="1:16" s="5" customFormat="1" ht="18.75" customHeight="1" x14ac:dyDescent="0.15">
      <c r="A49" s="68"/>
      <c r="B49" s="1">
        <f t="shared" ref="B49:B55" si="18">B48+0.01</f>
        <v>3.0299999999999994</v>
      </c>
      <c r="C49" s="71" t="s">
        <v>273</v>
      </c>
      <c r="D49" s="1">
        <v>12</v>
      </c>
      <c r="E49" s="1" t="s">
        <v>197</v>
      </c>
      <c r="F49" s="70">
        <v>190</v>
      </c>
      <c r="G49" s="70">
        <v>133</v>
      </c>
      <c r="H49" s="70">
        <f t="shared" si="15"/>
        <v>71.06</v>
      </c>
      <c r="I49" s="54">
        <f t="shared" si="8"/>
        <v>394.06</v>
      </c>
      <c r="J49" s="54">
        <f t="shared" si="16"/>
        <v>2280</v>
      </c>
      <c r="K49" s="54">
        <f t="shared" si="13"/>
        <v>1596</v>
      </c>
      <c r="L49" s="54">
        <f t="shared" si="14"/>
        <v>852.72</v>
      </c>
      <c r="M49" s="69">
        <f t="shared" si="17"/>
        <v>4728.72</v>
      </c>
    </row>
    <row r="50" spans="1:16" ht="18.75" customHeight="1" x14ac:dyDescent="0.25">
      <c r="A50" s="1"/>
      <c r="B50" s="1">
        <f t="shared" si="18"/>
        <v>3.0399999999999991</v>
      </c>
      <c r="C50" s="76" t="s">
        <v>275</v>
      </c>
      <c r="D50" s="1">
        <v>12</v>
      </c>
      <c r="E50" s="1" t="s">
        <v>1</v>
      </c>
      <c r="F50" s="54">
        <v>320</v>
      </c>
      <c r="G50" s="54">
        <v>224</v>
      </c>
      <c r="H50" s="70">
        <f t="shared" si="15"/>
        <v>119.68</v>
      </c>
      <c r="I50" s="54">
        <f t="shared" si="8"/>
        <v>663.68000000000006</v>
      </c>
      <c r="J50" s="54">
        <f t="shared" si="16"/>
        <v>3840</v>
      </c>
      <c r="K50" s="54">
        <f t="shared" si="13"/>
        <v>2688</v>
      </c>
      <c r="L50" s="54">
        <f t="shared" si="14"/>
        <v>1436.16</v>
      </c>
      <c r="M50" s="69">
        <f t="shared" si="17"/>
        <v>7964.16</v>
      </c>
    </row>
    <row r="51" spans="1:16" ht="18.75" customHeight="1" x14ac:dyDescent="0.25">
      <c r="A51" s="1"/>
      <c r="B51" s="1">
        <f t="shared" si="18"/>
        <v>3.0499999999999989</v>
      </c>
      <c r="C51" s="71" t="s">
        <v>274</v>
      </c>
      <c r="D51" s="1">
        <v>12</v>
      </c>
      <c r="E51" s="1" t="s">
        <v>197</v>
      </c>
      <c r="F51" s="54">
        <v>190</v>
      </c>
      <c r="G51" s="54">
        <v>133</v>
      </c>
      <c r="H51" s="70">
        <f t="shared" si="15"/>
        <v>71.06</v>
      </c>
      <c r="I51" s="54">
        <f t="shared" si="8"/>
        <v>394.06</v>
      </c>
      <c r="J51" s="54">
        <f t="shared" si="16"/>
        <v>2280</v>
      </c>
      <c r="K51" s="54">
        <f t="shared" si="13"/>
        <v>1596</v>
      </c>
      <c r="L51" s="54">
        <f t="shared" si="14"/>
        <v>852.72</v>
      </c>
      <c r="M51" s="69">
        <f t="shared" si="17"/>
        <v>4728.72</v>
      </c>
    </row>
    <row r="52" spans="1:16" ht="18.75" customHeight="1" x14ac:dyDescent="0.25">
      <c r="A52" s="1"/>
      <c r="B52" s="1">
        <f t="shared" si="18"/>
        <v>3.0599999999999987</v>
      </c>
      <c r="C52" s="76" t="s">
        <v>238</v>
      </c>
      <c r="D52" s="1">
        <v>12</v>
      </c>
      <c r="E52" s="1" t="s">
        <v>1</v>
      </c>
      <c r="F52" s="54">
        <v>190</v>
      </c>
      <c r="G52" s="54">
        <v>133</v>
      </c>
      <c r="H52" s="70">
        <f t="shared" si="15"/>
        <v>71.06</v>
      </c>
      <c r="I52" s="54">
        <f t="shared" si="8"/>
        <v>394.06</v>
      </c>
      <c r="J52" s="54">
        <f t="shared" si="16"/>
        <v>2280</v>
      </c>
      <c r="K52" s="54">
        <f t="shared" si="13"/>
        <v>1596</v>
      </c>
      <c r="L52" s="54">
        <f t="shared" si="14"/>
        <v>852.72</v>
      </c>
      <c r="M52" s="69">
        <f t="shared" si="17"/>
        <v>4728.72</v>
      </c>
    </row>
    <row r="53" spans="1:16" ht="18.75" customHeight="1" x14ac:dyDescent="0.25">
      <c r="A53" s="1"/>
      <c r="B53" s="1">
        <f t="shared" si="18"/>
        <v>3.0699999999999985</v>
      </c>
      <c r="C53" s="76" t="s">
        <v>239</v>
      </c>
      <c r="D53" s="1">
        <v>12</v>
      </c>
      <c r="E53" s="1" t="s">
        <v>1</v>
      </c>
      <c r="F53" s="54">
        <v>250</v>
      </c>
      <c r="G53" s="54">
        <v>175</v>
      </c>
      <c r="H53" s="70">
        <f t="shared" si="15"/>
        <v>93.5</v>
      </c>
      <c r="I53" s="54">
        <f t="shared" si="8"/>
        <v>518.5</v>
      </c>
      <c r="J53" s="54">
        <f t="shared" si="16"/>
        <v>3000</v>
      </c>
      <c r="K53" s="54">
        <f t="shared" si="13"/>
        <v>2100</v>
      </c>
      <c r="L53" s="54">
        <f t="shared" si="14"/>
        <v>1122</v>
      </c>
      <c r="M53" s="69">
        <f t="shared" si="17"/>
        <v>6222</v>
      </c>
    </row>
    <row r="54" spans="1:16" ht="18.75" customHeight="1" x14ac:dyDescent="0.25">
      <c r="A54" s="1"/>
      <c r="B54" s="1">
        <f t="shared" si="18"/>
        <v>3.0799999999999983</v>
      </c>
      <c r="C54" s="76" t="s">
        <v>175</v>
      </c>
      <c r="D54" s="1">
        <v>15</v>
      </c>
      <c r="E54" s="1" t="s">
        <v>134</v>
      </c>
      <c r="F54" s="54">
        <v>140</v>
      </c>
      <c r="G54" s="54">
        <v>98</v>
      </c>
      <c r="H54" s="70">
        <f t="shared" si="15"/>
        <v>52.36</v>
      </c>
      <c r="I54" s="54">
        <f t="shared" si="8"/>
        <v>290.36</v>
      </c>
      <c r="J54" s="54">
        <f t="shared" si="16"/>
        <v>2100</v>
      </c>
      <c r="K54" s="54">
        <f t="shared" si="13"/>
        <v>1470</v>
      </c>
      <c r="L54" s="54">
        <f t="shared" si="14"/>
        <v>785.4</v>
      </c>
      <c r="M54" s="69">
        <f t="shared" si="17"/>
        <v>4355.3999999999996</v>
      </c>
    </row>
    <row r="55" spans="1:16" s="5" customFormat="1" ht="18.75" customHeight="1" x14ac:dyDescent="0.15">
      <c r="A55" s="68"/>
      <c r="B55" s="1">
        <f t="shared" si="18"/>
        <v>3.0899999999999981</v>
      </c>
      <c r="C55" s="71" t="s">
        <v>166</v>
      </c>
      <c r="D55" s="1">
        <v>18</v>
      </c>
      <c r="E55" s="1" t="s">
        <v>105</v>
      </c>
      <c r="F55" s="70">
        <v>80</v>
      </c>
      <c r="G55" s="70">
        <v>56</v>
      </c>
      <c r="H55" s="70">
        <f t="shared" si="15"/>
        <v>29.92</v>
      </c>
      <c r="I55" s="54">
        <f t="shared" si="8"/>
        <v>165.92000000000002</v>
      </c>
      <c r="J55" s="54">
        <f t="shared" si="16"/>
        <v>1440</v>
      </c>
      <c r="K55" s="54">
        <f t="shared" si="13"/>
        <v>1008</v>
      </c>
      <c r="L55" s="54">
        <f t="shared" si="14"/>
        <v>538.56000000000006</v>
      </c>
      <c r="M55" s="69">
        <f t="shared" si="17"/>
        <v>2986.56</v>
      </c>
    </row>
    <row r="56" spans="1:16" s="5" customFormat="1" ht="18.75" customHeight="1" x14ac:dyDescent="0.15">
      <c r="A56" s="68"/>
      <c r="B56" s="1"/>
      <c r="C56" s="67" t="s">
        <v>117</v>
      </c>
      <c r="D56" s="1"/>
      <c r="E56" s="1"/>
      <c r="F56" s="70"/>
      <c r="G56" s="70"/>
      <c r="H56" s="70"/>
      <c r="I56" s="54"/>
      <c r="J56" s="54"/>
      <c r="K56" s="54"/>
      <c r="L56" s="54"/>
      <c r="M56" s="69"/>
    </row>
    <row r="57" spans="1:16" s="5" customFormat="1" ht="18.75" customHeight="1" x14ac:dyDescent="0.15">
      <c r="A57" s="68"/>
      <c r="B57" s="1">
        <f>B55+0.01</f>
        <v>3.0999999999999979</v>
      </c>
      <c r="C57" s="71" t="s">
        <v>168</v>
      </c>
      <c r="D57" s="1">
        <v>150</v>
      </c>
      <c r="E57" s="1" t="s">
        <v>197</v>
      </c>
      <c r="F57" s="70">
        <v>20</v>
      </c>
      <c r="G57" s="70">
        <v>14</v>
      </c>
      <c r="H57" s="70">
        <f t="shared" si="15"/>
        <v>7.48</v>
      </c>
      <c r="I57" s="54">
        <f t="shared" si="8"/>
        <v>41.480000000000004</v>
      </c>
      <c r="J57" s="54">
        <f t="shared" ref="J57:J124" si="19">D57*F57</f>
        <v>3000</v>
      </c>
      <c r="K57" s="54">
        <f t="shared" si="13"/>
        <v>2100</v>
      </c>
      <c r="L57" s="54">
        <f t="shared" si="14"/>
        <v>1122</v>
      </c>
      <c r="M57" s="69">
        <f>SUM(J57:L57)</f>
        <v>6222</v>
      </c>
    </row>
    <row r="58" spans="1:16" ht="18.75" customHeight="1" x14ac:dyDescent="0.25">
      <c r="A58" s="1"/>
      <c r="B58" s="1">
        <f>B57+0.01</f>
        <v>3.1099999999999977</v>
      </c>
      <c r="C58" s="76" t="s">
        <v>167</v>
      </c>
      <c r="D58" s="1">
        <v>150</v>
      </c>
      <c r="E58" s="1" t="s">
        <v>197</v>
      </c>
      <c r="F58" s="54">
        <v>20</v>
      </c>
      <c r="G58" s="54">
        <v>14</v>
      </c>
      <c r="H58" s="70">
        <f t="shared" si="15"/>
        <v>7.48</v>
      </c>
      <c r="I58" s="54">
        <f t="shared" si="8"/>
        <v>41.480000000000004</v>
      </c>
      <c r="J58" s="54">
        <f t="shared" si="19"/>
        <v>3000</v>
      </c>
      <c r="K58" s="54">
        <f t="shared" si="13"/>
        <v>2100</v>
      </c>
      <c r="L58" s="54">
        <f t="shared" si="14"/>
        <v>1122</v>
      </c>
      <c r="M58" s="69">
        <f t="shared" ref="M58:M65" si="20">SUM(J58:L58)</f>
        <v>6222</v>
      </c>
    </row>
    <row r="59" spans="1:16" s="5" customFormat="1" ht="18.75" customHeight="1" x14ac:dyDescent="0.15">
      <c r="A59" s="68"/>
      <c r="B59" s="1">
        <f t="shared" ref="B59:B65" si="21">B58+0.01</f>
        <v>3.1199999999999974</v>
      </c>
      <c r="C59" s="71" t="s">
        <v>171</v>
      </c>
      <c r="D59" s="1">
        <v>15</v>
      </c>
      <c r="E59" s="1" t="s">
        <v>197</v>
      </c>
      <c r="F59" s="70">
        <v>50</v>
      </c>
      <c r="G59" s="70">
        <v>35</v>
      </c>
      <c r="H59" s="70">
        <f t="shared" si="15"/>
        <v>18.7</v>
      </c>
      <c r="I59" s="54">
        <f t="shared" si="8"/>
        <v>103.7</v>
      </c>
      <c r="J59" s="54">
        <f t="shared" si="19"/>
        <v>750</v>
      </c>
      <c r="K59" s="54">
        <f t="shared" si="13"/>
        <v>525</v>
      </c>
      <c r="L59" s="54">
        <f t="shared" si="14"/>
        <v>280.5</v>
      </c>
      <c r="M59" s="69">
        <f t="shared" si="20"/>
        <v>1555.5</v>
      </c>
    </row>
    <row r="60" spans="1:16" s="5" customFormat="1" ht="18.75" customHeight="1" x14ac:dyDescent="0.15">
      <c r="A60" s="68"/>
      <c r="B60" s="1">
        <f t="shared" si="21"/>
        <v>3.1299999999999972</v>
      </c>
      <c r="C60" s="71" t="s">
        <v>182</v>
      </c>
      <c r="D60" s="1">
        <v>11</v>
      </c>
      <c r="E60" s="1" t="s">
        <v>136</v>
      </c>
      <c r="F60" s="70">
        <v>660</v>
      </c>
      <c r="G60" s="70">
        <v>460</v>
      </c>
      <c r="H60" s="70">
        <f t="shared" si="15"/>
        <v>246.4</v>
      </c>
      <c r="I60" s="54">
        <f t="shared" si="8"/>
        <v>1366.4</v>
      </c>
      <c r="J60" s="54">
        <f t="shared" si="19"/>
        <v>7260</v>
      </c>
      <c r="K60" s="54">
        <f t="shared" si="13"/>
        <v>5060</v>
      </c>
      <c r="L60" s="54">
        <f t="shared" si="14"/>
        <v>2710.4</v>
      </c>
      <c r="M60" s="69">
        <f t="shared" si="20"/>
        <v>15030.4</v>
      </c>
    </row>
    <row r="61" spans="1:16" s="5" customFormat="1" ht="18.75" customHeight="1" x14ac:dyDescent="0.15">
      <c r="A61" s="68"/>
      <c r="B61" s="1">
        <f t="shared" si="21"/>
        <v>3.139999999999997</v>
      </c>
      <c r="C61" s="71" t="s">
        <v>183</v>
      </c>
      <c r="D61" s="1">
        <v>18</v>
      </c>
      <c r="E61" s="1" t="s">
        <v>136</v>
      </c>
      <c r="F61" s="70">
        <v>650</v>
      </c>
      <c r="G61" s="70">
        <v>455</v>
      </c>
      <c r="H61" s="70">
        <f t="shared" si="15"/>
        <v>243.1</v>
      </c>
      <c r="I61" s="54">
        <f t="shared" si="8"/>
        <v>1348.1</v>
      </c>
      <c r="J61" s="54">
        <f t="shared" si="19"/>
        <v>11700</v>
      </c>
      <c r="K61" s="54">
        <f t="shared" si="13"/>
        <v>8190</v>
      </c>
      <c r="L61" s="54">
        <f t="shared" si="14"/>
        <v>4375.8</v>
      </c>
      <c r="M61" s="69">
        <f t="shared" si="20"/>
        <v>24265.8</v>
      </c>
    </row>
    <row r="62" spans="1:16" s="5" customFormat="1" ht="18.75" customHeight="1" x14ac:dyDescent="0.15">
      <c r="A62" s="68"/>
      <c r="B62" s="1">
        <f t="shared" si="21"/>
        <v>3.1499999999999968</v>
      </c>
      <c r="C62" s="71" t="s">
        <v>184</v>
      </c>
      <c r="D62" s="1">
        <v>9</v>
      </c>
      <c r="E62" s="1" t="s">
        <v>136</v>
      </c>
      <c r="F62" s="70">
        <v>420</v>
      </c>
      <c r="G62" s="70">
        <v>290</v>
      </c>
      <c r="H62" s="70">
        <f t="shared" si="15"/>
        <v>156.19999999999999</v>
      </c>
      <c r="I62" s="54">
        <f t="shared" si="8"/>
        <v>866.2</v>
      </c>
      <c r="J62" s="54">
        <f t="shared" si="19"/>
        <v>3780</v>
      </c>
      <c r="K62" s="54">
        <f t="shared" si="13"/>
        <v>2610</v>
      </c>
      <c r="L62" s="54">
        <f t="shared" si="14"/>
        <v>1405.8</v>
      </c>
      <c r="M62" s="69">
        <f t="shared" si="20"/>
        <v>7795.8</v>
      </c>
    </row>
    <row r="63" spans="1:16" s="5" customFormat="1" ht="18.75" customHeight="1" x14ac:dyDescent="0.15">
      <c r="A63" s="68"/>
      <c r="B63" s="1">
        <f t="shared" si="21"/>
        <v>3.1599999999999966</v>
      </c>
      <c r="C63" s="71" t="s">
        <v>224</v>
      </c>
      <c r="D63" s="1">
        <v>9</v>
      </c>
      <c r="E63" s="1" t="s">
        <v>136</v>
      </c>
      <c r="F63" s="70">
        <v>860</v>
      </c>
      <c r="G63" s="70">
        <v>600</v>
      </c>
      <c r="H63" s="70">
        <f t="shared" si="15"/>
        <v>321.2</v>
      </c>
      <c r="I63" s="54">
        <f t="shared" si="8"/>
        <v>1781.2</v>
      </c>
      <c r="J63" s="54">
        <f t="shared" si="19"/>
        <v>7740</v>
      </c>
      <c r="K63" s="54">
        <f t="shared" si="13"/>
        <v>5400</v>
      </c>
      <c r="L63" s="54">
        <f t="shared" si="14"/>
        <v>2890.7999999999997</v>
      </c>
      <c r="M63" s="69">
        <f t="shared" si="20"/>
        <v>16030.8</v>
      </c>
    </row>
    <row r="64" spans="1:16" s="5" customFormat="1" ht="18.75" customHeight="1" x14ac:dyDescent="0.15">
      <c r="A64" s="68"/>
      <c r="B64" s="1">
        <f t="shared" si="21"/>
        <v>3.1699999999999964</v>
      </c>
      <c r="C64" s="71" t="s">
        <v>186</v>
      </c>
      <c r="D64" s="1">
        <v>3</v>
      </c>
      <c r="E64" s="1" t="s">
        <v>174</v>
      </c>
      <c r="F64" s="70">
        <v>180</v>
      </c>
      <c r="G64" s="70">
        <v>120</v>
      </c>
      <c r="H64" s="70">
        <f t="shared" si="15"/>
        <v>66</v>
      </c>
      <c r="I64" s="54">
        <f t="shared" si="8"/>
        <v>366</v>
      </c>
      <c r="J64" s="54">
        <f t="shared" si="19"/>
        <v>540</v>
      </c>
      <c r="K64" s="54">
        <f t="shared" si="13"/>
        <v>360</v>
      </c>
      <c r="L64" s="54">
        <f t="shared" si="14"/>
        <v>198</v>
      </c>
      <c r="M64" s="69">
        <f t="shared" si="20"/>
        <v>1098</v>
      </c>
      <c r="P64" s="75"/>
    </row>
    <row r="65" spans="1:15" s="5" customFormat="1" ht="18.75" customHeight="1" x14ac:dyDescent="0.15">
      <c r="A65" s="68"/>
      <c r="B65" s="1">
        <f t="shared" si="21"/>
        <v>3.1799999999999962</v>
      </c>
      <c r="C65" s="71" t="s">
        <v>185</v>
      </c>
      <c r="D65" s="1">
        <v>3</v>
      </c>
      <c r="E65" s="1" t="s">
        <v>174</v>
      </c>
      <c r="F65" s="70">
        <v>620</v>
      </c>
      <c r="G65" s="70">
        <v>430</v>
      </c>
      <c r="H65" s="70">
        <f t="shared" si="15"/>
        <v>231</v>
      </c>
      <c r="I65" s="54">
        <f t="shared" si="8"/>
        <v>1281</v>
      </c>
      <c r="J65" s="54">
        <f t="shared" si="19"/>
        <v>1860</v>
      </c>
      <c r="K65" s="54">
        <f t="shared" si="13"/>
        <v>1290</v>
      </c>
      <c r="L65" s="54">
        <f t="shared" si="14"/>
        <v>693</v>
      </c>
      <c r="M65" s="69">
        <f t="shared" si="20"/>
        <v>3843</v>
      </c>
    </row>
    <row r="66" spans="1:15" s="5" customFormat="1" ht="18.75" customHeight="1" x14ac:dyDescent="0.15">
      <c r="A66" s="68"/>
      <c r="B66" s="1"/>
      <c r="C66" s="71"/>
      <c r="D66" s="1"/>
      <c r="E66" s="1"/>
      <c r="F66" s="88"/>
      <c r="G66" s="82"/>
      <c r="H66" s="82"/>
      <c r="I66" s="54"/>
      <c r="J66" s="54"/>
      <c r="K66" s="54"/>
      <c r="L66" s="82" t="s">
        <v>208</v>
      </c>
      <c r="M66" s="81">
        <f>SUM(M47:M65)</f>
        <v>232511.25999999995</v>
      </c>
      <c r="O66" s="72">
        <f>M66</f>
        <v>232511.25999999995</v>
      </c>
    </row>
    <row r="67" spans="1:15" s="11" customFormat="1" ht="18.75" customHeight="1" x14ac:dyDescent="0.25">
      <c r="A67" s="85">
        <v>4</v>
      </c>
      <c r="B67" s="74"/>
      <c r="C67" s="57" t="s">
        <v>3</v>
      </c>
      <c r="D67" s="1"/>
      <c r="E67" s="1"/>
      <c r="F67" s="54"/>
      <c r="G67" s="54"/>
      <c r="H67" s="54"/>
      <c r="I67" s="54"/>
      <c r="J67" s="54"/>
      <c r="K67" s="54"/>
      <c r="L67" s="54"/>
      <c r="M67" s="69"/>
      <c r="O67" s="15"/>
    </row>
    <row r="68" spans="1:15" s="5" customFormat="1" ht="18.75" customHeight="1" x14ac:dyDescent="0.15">
      <c r="A68" s="68"/>
      <c r="B68" s="1">
        <v>4.01</v>
      </c>
      <c r="C68" s="67" t="s">
        <v>283</v>
      </c>
      <c r="D68" s="1">
        <v>109</v>
      </c>
      <c r="E68" s="1" t="s">
        <v>172</v>
      </c>
      <c r="F68" s="70">
        <v>1300</v>
      </c>
      <c r="G68" s="70">
        <v>390</v>
      </c>
      <c r="H68" s="70">
        <f>0.22*(F68+G68)</f>
        <v>371.8</v>
      </c>
      <c r="I68" s="54">
        <f t="shared" si="8"/>
        <v>2061.8000000000002</v>
      </c>
      <c r="J68" s="54">
        <f t="shared" si="19"/>
        <v>141700</v>
      </c>
      <c r="K68" s="54">
        <f t="shared" si="13"/>
        <v>42510</v>
      </c>
      <c r="L68" s="54">
        <f t="shared" si="14"/>
        <v>40526.200000000004</v>
      </c>
      <c r="M68" s="69">
        <f>SUM(J68:L68)</f>
        <v>224736.2</v>
      </c>
    </row>
    <row r="69" spans="1:15" ht="18.75" customHeight="1" x14ac:dyDescent="0.25">
      <c r="A69" s="1"/>
      <c r="B69" s="1">
        <v>4.0199999999999996</v>
      </c>
      <c r="C69" s="53" t="s">
        <v>262</v>
      </c>
      <c r="D69" s="1">
        <v>62</v>
      </c>
      <c r="E69" s="1" t="s">
        <v>197</v>
      </c>
      <c r="F69" s="54">
        <v>230</v>
      </c>
      <c r="G69" s="54">
        <v>69</v>
      </c>
      <c r="H69" s="70">
        <f>0.22*(F69+G69)</f>
        <v>65.78</v>
      </c>
      <c r="I69" s="54">
        <f t="shared" si="8"/>
        <v>364.78</v>
      </c>
      <c r="J69" s="54">
        <f t="shared" si="19"/>
        <v>14260</v>
      </c>
      <c r="K69" s="54">
        <f t="shared" si="13"/>
        <v>4278</v>
      </c>
      <c r="L69" s="54">
        <f t="shared" si="14"/>
        <v>4078.36</v>
      </c>
      <c r="M69" s="69">
        <f>SUM(J69:L69)</f>
        <v>22616.36</v>
      </c>
    </row>
    <row r="70" spans="1:15" ht="18.75" customHeight="1" x14ac:dyDescent="0.25">
      <c r="A70" s="1"/>
      <c r="B70" s="1">
        <v>4.03</v>
      </c>
      <c r="C70" s="53" t="s">
        <v>261</v>
      </c>
      <c r="D70" s="1">
        <v>3</v>
      </c>
      <c r="E70" s="1" t="s">
        <v>197</v>
      </c>
      <c r="F70" s="54">
        <v>400</v>
      </c>
      <c r="G70" s="54">
        <v>120</v>
      </c>
      <c r="H70" s="70">
        <f>0.22*(F70+G70)</f>
        <v>114.4</v>
      </c>
      <c r="I70" s="54">
        <f>SUM(F70:H70)</f>
        <v>634.4</v>
      </c>
      <c r="J70" s="54">
        <f t="shared" si="19"/>
        <v>1200</v>
      </c>
      <c r="K70" s="54">
        <f t="shared" si="13"/>
        <v>360</v>
      </c>
      <c r="L70" s="54">
        <f t="shared" si="14"/>
        <v>343.20000000000005</v>
      </c>
      <c r="M70" s="69">
        <f>SUM(J70:L70)</f>
        <v>1903.2</v>
      </c>
    </row>
    <row r="71" spans="1:15" ht="18.75" customHeight="1" x14ac:dyDescent="0.25">
      <c r="A71" s="1"/>
      <c r="B71" s="1"/>
      <c r="C71" s="53"/>
      <c r="D71" s="1"/>
      <c r="E71" s="1"/>
      <c r="F71" s="87"/>
      <c r="G71" s="80"/>
      <c r="H71" s="80"/>
      <c r="I71" s="54"/>
      <c r="J71" s="54"/>
      <c r="K71" s="54"/>
      <c r="L71" s="80" t="s">
        <v>208</v>
      </c>
      <c r="M71" s="81">
        <f>SUM(M68:M70)</f>
        <v>249255.76</v>
      </c>
      <c r="O71" s="15">
        <f>M71</f>
        <v>249255.76</v>
      </c>
    </row>
    <row r="72" spans="1:15" s="11" customFormat="1" ht="18.75" customHeight="1" x14ac:dyDescent="0.25">
      <c r="A72" s="85">
        <v>5</v>
      </c>
      <c r="B72" s="74"/>
      <c r="C72" s="57" t="s">
        <v>151</v>
      </c>
      <c r="D72" s="1"/>
      <c r="E72" s="1"/>
      <c r="F72" s="54"/>
      <c r="G72" s="54"/>
      <c r="H72" s="54"/>
      <c r="I72" s="54"/>
      <c r="J72" s="54"/>
      <c r="K72" s="54"/>
      <c r="L72" s="54"/>
      <c r="M72" s="69"/>
      <c r="O72" s="15"/>
    </row>
    <row r="73" spans="1:15" s="5" customFormat="1" ht="18.75" customHeight="1" x14ac:dyDescent="0.15">
      <c r="A73" s="68"/>
      <c r="B73" s="1">
        <v>5.01</v>
      </c>
      <c r="C73" s="77" t="s">
        <v>191</v>
      </c>
      <c r="D73" s="1">
        <v>6</v>
      </c>
      <c r="E73" s="1" t="s">
        <v>197</v>
      </c>
      <c r="F73" s="70">
        <v>1270</v>
      </c>
      <c r="G73" s="70">
        <v>380</v>
      </c>
      <c r="H73" s="70">
        <f>0.22*(F73+G73)</f>
        <v>363</v>
      </c>
      <c r="I73" s="54">
        <f t="shared" si="8"/>
        <v>2013</v>
      </c>
      <c r="J73" s="54">
        <f t="shared" si="19"/>
        <v>7620</v>
      </c>
      <c r="K73" s="54">
        <f t="shared" si="13"/>
        <v>2280</v>
      </c>
      <c r="L73" s="54">
        <f>D73*H73</f>
        <v>2178</v>
      </c>
      <c r="M73" s="69">
        <f>SUM(J73:L73)</f>
        <v>12078</v>
      </c>
    </row>
    <row r="74" spans="1:15" ht="18.75" customHeight="1" x14ac:dyDescent="0.25">
      <c r="A74" s="1"/>
      <c r="B74" s="1">
        <f>B73+0.01</f>
        <v>5.0199999999999996</v>
      </c>
      <c r="C74" s="77" t="s">
        <v>192</v>
      </c>
      <c r="D74" s="1">
        <v>11</v>
      </c>
      <c r="E74" s="1" t="s">
        <v>197</v>
      </c>
      <c r="F74" s="54">
        <v>760</v>
      </c>
      <c r="G74" s="54">
        <v>230</v>
      </c>
      <c r="H74" s="70">
        <f t="shared" ref="H74:H82" si="22">0.22*(F74+G74)</f>
        <v>217.8</v>
      </c>
      <c r="I74" s="54">
        <f t="shared" si="8"/>
        <v>1207.8</v>
      </c>
      <c r="J74" s="54">
        <f t="shared" si="19"/>
        <v>8360</v>
      </c>
      <c r="K74" s="54">
        <f t="shared" si="13"/>
        <v>2530</v>
      </c>
      <c r="L74" s="54">
        <f t="shared" ref="L74:L82" si="23">D74*H74</f>
        <v>2395.8000000000002</v>
      </c>
      <c r="M74" s="69">
        <f t="shared" ref="M74:M82" si="24">SUM(J74:L74)</f>
        <v>13285.8</v>
      </c>
    </row>
    <row r="75" spans="1:15" s="5" customFormat="1" ht="18.75" customHeight="1" x14ac:dyDescent="0.15">
      <c r="A75" s="68"/>
      <c r="B75" s="1">
        <f t="shared" ref="B75:B82" si="25">B74+0.01</f>
        <v>5.0299999999999994</v>
      </c>
      <c r="C75" s="71" t="s">
        <v>103</v>
      </c>
      <c r="D75" s="1">
        <v>8</v>
      </c>
      <c r="E75" s="1" t="s">
        <v>105</v>
      </c>
      <c r="F75" s="70">
        <v>100</v>
      </c>
      <c r="G75" s="70">
        <v>27</v>
      </c>
      <c r="H75" s="70">
        <f t="shared" si="22"/>
        <v>27.94</v>
      </c>
      <c r="I75" s="54">
        <f t="shared" si="8"/>
        <v>154.94</v>
      </c>
      <c r="J75" s="54">
        <f t="shared" si="19"/>
        <v>800</v>
      </c>
      <c r="K75" s="54">
        <f t="shared" si="13"/>
        <v>216</v>
      </c>
      <c r="L75" s="54">
        <f t="shared" si="23"/>
        <v>223.52</v>
      </c>
      <c r="M75" s="69">
        <f t="shared" si="24"/>
        <v>1239.52</v>
      </c>
    </row>
    <row r="76" spans="1:15" s="5" customFormat="1" ht="18.75" customHeight="1" x14ac:dyDescent="0.15">
      <c r="A76" s="68"/>
      <c r="B76" s="1">
        <f t="shared" si="25"/>
        <v>5.0399999999999991</v>
      </c>
      <c r="C76" s="71" t="s">
        <v>240</v>
      </c>
      <c r="D76" s="1">
        <v>30</v>
      </c>
      <c r="E76" s="1" t="s">
        <v>197</v>
      </c>
      <c r="F76" s="70">
        <v>40</v>
      </c>
      <c r="G76" s="70">
        <v>12</v>
      </c>
      <c r="H76" s="70">
        <f t="shared" si="22"/>
        <v>11.44</v>
      </c>
      <c r="I76" s="54">
        <f t="shared" si="8"/>
        <v>63.44</v>
      </c>
      <c r="J76" s="54">
        <f t="shared" si="19"/>
        <v>1200</v>
      </c>
      <c r="K76" s="54">
        <f t="shared" si="13"/>
        <v>360</v>
      </c>
      <c r="L76" s="54">
        <f t="shared" si="23"/>
        <v>343.2</v>
      </c>
      <c r="M76" s="69">
        <f t="shared" si="24"/>
        <v>1903.2</v>
      </c>
    </row>
    <row r="77" spans="1:15" s="5" customFormat="1" ht="18.75" customHeight="1" x14ac:dyDescent="0.15">
      <c r="A77" s="68"/>
      <c r="B77" s="1">
        <f t="shared" si="25"/>
        <v>5.0499999999999989</v>
      </c>
      <c r="C77" s="78" t="s">
        <v>196</v>
      </c>
      <c r="D77" s="1">
        <v>48</v>
      </c>
      <c r="E77" s="1" t="s">
        <v>197</v>
      </c>
      <c r="F77" s="70">
        <v>740</v>
      </c>
      <c r="G77" s="70">
        <v>220</v>
      </c>
      <c r="H77" s="70">
        <f t="shared" si="22"/>
        <v>211.2</v>
      </c>
      <c r="I77" s="54">
        <f t="shared" si="8"/>
        <v>1171.2</v>
      </c>
      <c r="J77" s="54">
        <f t="shared" si="19"/>
        <v>35520</v>
      </c>
      <c r="K77" s="54">
        <f t="shared" si="13"/>
        <v>10560</v>
      </c>
      <c r="L77" s="54">
        <f t="shared" si="23"/>
        <v>10137.599999999999</v>
      </c>
      <c r="M77" s="69">
        <f t="shared" si="24"/>
        <v>56217.599999999999</v>
      </c>
    </row>
    <row r="78" spans="1:15" s="5" customFormat="1" ht="18.75" customHeight="1" x14ac:dyDescent="0.15">
      <c r="A78" s="68"/>
      <c r="B78" s="1">
        <f t="shared" si="25"/>
        <v>5.0599999999999987</v>
      </c>
      <c r="C78" s="71" t="s">
        <v>198</v>
      </c>
      <c r="D78" s="1">
        <v>22</v>
      </c>
      <c r="E78" s="1" t="s">
        <v>197</v>
      </c>
      <c r="F78" s="70">
        <v>140</v>
      </c>
      <c r="G78" s="70">
        <v>40</v>
      </c>
      <c r="H78" s="70">
        <f t="shared" si="22"/>
        <v>39.6</v>
      </c>
      <c r="I78" s="54">
        <f t="shared" si="8"/>
        <v>219.6</v>
      </c>
      <c r="J78" s="54">
        <f t="shared" si="19"/>
        <v>3080</v>
      </c>
      <c r="K78" s="54">
        <f t="shared" si="13"/>
        <v>880</v>
      </c>
      <c r="L78" s="54">
        <f t="shared" si="23"/>
        <v>871.2</v>
      </c>
      <c r="M78" s="69">
        <f t="shared" si="24"/>
        <v>4831.2</v>
      </c>
    </row>
    <row r="79" spans="1:15" s="5" customFormat="1" ht="18.75" customHeight="1" x14ac:dyDescent="0.15">
      <c r="A79" s="68"/>
      <c r="B79" s="1">
        <f t="shared" si="25"/>
        <v>5.0699999999999985</v>
      </c>
      <c r="C79" s="71" t="s">
        <v>199</v>
      </c>
      <c r="D79" s="1">
        <v>71</v>
      </c>
      <c r="E79" s="1" t="s">
        <v>197</v>
      </c>
      <c r="F79" s="70">
        <v>150</v>
      </c>
      <c r="G79" s="70">
        <v>45</v>
      </c>
      <c r="H79" s="70">
        <f t="shared" si="22"/>
        <v>42.9</v>
      </c>
      <c r="I79" s="54">
        <f t="shared" si="8"/>
        <v>237.9</v>
      </c>
      <c r="J79" s="54">
        <f t="shared" si="19"/>
        <v>10650</v>
      </c>
      <c r="K79" s="54">
        <f t="shared" si="13"/>
        <v>3195</v>
      </c>
      <c r="L79" s="54">
        <f t="shared" si="23"/>
        <v>3045.9</v>
      </c>
      <c r="M79" s="69">
        <f t="shared" si="24"/>
        <v>16890.900000000001</v>
      </c>
    </row>
    <row r="80" spans="1:15" s="5" customFormat="1" ht="18.75" customHeight="1" x14ac:dyDescent="0.15">
      <c r="A80" s="68"/>
      <c r="B80" s="1">
        <f t="shared" si="25"/>
        <v>5.0799999999999983</v>
      </c>
      <c r="C80" s="71" t="s">
        <v>204</v>
      </c>
      <c r="D80" s="1">
        <v>700</v>
      </c>
      <c r="E80" s="1" t="s">
        <v>197</v>
      </c>
      <c r="F80" s="70">
        <v>0.8</v>
      </c>
      <c r="G80" s="70">
        <v>0.25</v>
      </c>
      <c r="H80" s="70">
        <f t="shared" si="22"/>
        <v>0.23100000000000001</v>
      </c>
      <c r="I80" s="54">
        <f t="shared" si="8"/>
        <v>1.2810000000000001</v>
      </c>
      <c r="J80" s="54">
        <f t="shared" si="19"/>
        <v>560</v>
      </c>
      <c r="K80" s="54">
        <f t="shared" si="13"/>
        <v>175</v>
      </c>
      <c r="L80" s="54">
        <f t="shared" si="23"/>
        <v>161.70000000000002</v>
      </c>
      <c r="M80" s="69">
        <f t="shared" si="24"/>
        <v>896.7</v>
      </c>
    </row>
    <row r="81" spans="1:15" s="5" customFormat="1" ht="18.75" customHeight="1" x14ac:dyDescent="0.15">
      <c r="A81" s="68"/>
      <c r="B81" s="1">
        <f t="shared" si="25"/>
        <v>5.0899999999999981</v>
      </c>
      <c r="C81" s="71" t="s">
        <v>203</v>
      </c>
      <c r="D81" s="1">
        <v>1800</v>
      </c>
      <c r="E81" s="1" t="s">
        <v>197</v>
      </c>
      <c r="F81" s="70">
        <v>1.4</v>
      </c>
      <c r="G81" s="70">
        <v>0.4</v>
      </c>
      <c r="H81" s="70">
        <f t="shared" si="22"/>
        <v>0.39599999999999996</v>
      </c>
      <c r="I81" s="54">
        <f t="shared" si="8"/>
        <v>2.1959999999999997</v>
      </c>
      <c r="J81" s="54">
        <f t="shared" si="19"/>
        <v>2520</v>
      </c>
      <c r="K81" s="54">
        <f t="shared" si="13"/>
        <v>720</v>
      </c>
      <c r="L81" s="54">
        <f t="shared" si="23"/>
        <v>712.8</v>
      </c>
      <c r="M81" s="69">
        <f t="shared" si="24"/>
        <v>3952.8</v>
      </c>
    </row>
    <row r="82" spans="1:15" s="5" customFormat="1" ht="18.75" customHeight="1" x14ac:dyDescent="0.15">
      <c r="A82" s="68"/>
      <c r="B82" s="1">
        <f t="shared" si="25"/>
        <v>5.0999999999999979</v>
      </c>
      <c r="C82" s="71" t="s">
        <v>205</v>
      </c>
      <c r="D82" s="1">
        <v>2.5</v>
      </c>
      <c r="E82" s="1" t="s">
        <v>105</v>
      </c>
      <c r="F82" s="70">
        <v>95</v>
      </c>
      <c r="G82" s="70">
        <v>25</v>
      </c>
      <c r="H82" s="70">
        <f t="shared" si="22"/>
        <v>26.4</v>
      </c>
      <c r="I82" s="54">
        <f t="shared" si="8"/>
        <v>146.4</v>
      </c>
      <c r="J82" s="54">
        <f t="shared" si="19"/>
        <v>237.5</v>
      </c>
      <c r="K82" s="54">
        <f t="shared" si="13"/>
        <v>62.5</v>
      </c>
      <c r="L82" s="54">
        <f t="shared" si="23"/>
        <v>66</v>
      </c>
      <c r="M82" s="69">
        <f t="shared" si="24"/>
        <v>366</v>
      </c>
    </row>
    <row r="83" spans="1:15" s="5" customFormat="1" ht="18.75" customHeight="1" x14ac:dyDescent="0.15">
      <c r="A83" s="68"/>
      <c r="B83" s="1"/>
      <c r="C83" s="71"/>
      <c r="D83" s="1"/>
      <c r="E83" s="1"/>
      <c r="G83" s="82"/>
      <c r="H83" s="82"/>
      <c r="I83" s="54"/>
      <c r="J83" s="54"/>
      <c r="K83" s="54"/>
      <c r="L83" s="82" t="s">
        <v>208</v>
      </c>
      <c r="M83" s="81">
        <f>SUM(M73:M82)</f>
        <v>111661.72</v>
      </c>
      <c r="N83" s="75"/>
      <c r="O83" s="72">
        <f>M83</f>
        <v>111661.72</v>
      </c>
    </row>
    <row r="84" spans="1:15" s="11" customFormat="1" ht="18.75" customHeight="1" x14ac:dyDescent="0.25">
      <c r="A84" s="85">
        <v>6</v>
      </c>
      <c r="B84" s="74"/>
      <c r="C84" s="57" t="s">
        <v>242</v>
      </c>
      <c r="D84" s="1"/>
      <c r="E84" s="1"/>
      <c r="F84" s="54"/>
      <c r="G84" s="54"/>
      <c r="H84" s="54"/>
      <c r="I84" s="54"/>
      <c r="J84" s="54"/>
      <c r="K84" s="54"/>
      <c r="L84" s="54"/>
      <c r="M84" s="69"/>
      <c r="O84" s="15"/>
    </row>
    <row r="85" spans="1:15" s="5" customFormat="1" ht="18.75" customHeight="1" x14ac:dyDescent="0.15">
      <c r="A85" s="68"/>
      <c r="B85" s="1">
        <v>6.01</v>
      </c>
      <c r="C85" s="67" t="s">
        <v>257</v>
      </c>
      <c r="D85" s="1">
        <v>1</v>
      </c>
      <c r="E85" s="1" t="s">
        <v>5</v>
      </c>
      <c r="F85" s="70">
        <v>0</v>
      </c>
      <c r="G85" s="70">
        <v>1500</v>
      </c>
      <c r="H85" s="70">
        <f>0.22*(F85+G85)</f>
        <v>330</v>
      </c>
      <c r="I85" s="54">
        <f>SUM(F85:H85)</f>
        <v>1830</v>
      </c>
      <c r="J85" s="54">
        <f>D85*F85</f>
        <v>0</v>
      </c>
      <c r="K85" s="54">
        <f>D85*G85</f>
        <v>1500</v>
      </c>
      <c r="L85" s="54">
        <f>D85*H85</f>
        <v>330</v>
      </c>
      <c r="M85" s="69">
        <f>SUM(J85:L85)</f>
        <v>1830</v>
      </c>
    </row>
    <row r="86" spans="1:15" s="5" customFormat="1" ht="18.75" customHeight="1" x14ac:dyDescent="0.15">
      <c r="A86" s="68"/>
      <c r="B86" s="1">
        <v>6.02</v>
      </c>
      <c r="C86" s="67" t="s">
        <v>256</v>
      </c>
      <c r="D86" s="1">
        <v>1</v>
      </c>
      <c r="E86" s="1" t="s">
        <v>5</v>
      </c>
      <c r="F86" s="70">
        <v>4000</v>
      </c>
      <c r="G86" s="70">
        <v>1800</v>
      </c>
      <c r="H86" s="70">
        <f>0.22*(F86+G86)</f>
        <v>1276</v>
      </c>
      <c r="I86" s="54">
        <f>SUM(F86:H86)</f>
        <v>7076</v>
      </c>
      <c r="J86" s="54">
        <f>D86*F86</f>
        <v>4000</v>
      </c>
      <c r="K86" s="54">
        <f>D86*G86</f>
        <v>1800</v>
      </c>
      <c r="L86" s="54">
        <f>D86*H86</f>
        <v>1276</v>
      </c>
      <c r="M86" s="69">
        <f>SUM(J86:L86)</f>
        <v>7076</v>
      </c>
    </row>
    <row r="87" spans="1:15" s="11" customFormat="1" ht="18.75" customHeight="1" x14ac:dyDescent="0.25">
      <c r="A87" s="74"/>
      <c r="B87" s="1">
        <v>6.03</v>
      </c>
      <c r="C87" s="56" t="s">
        <v>265</v>
      </c>
      <c r="D87" s="1">
        <v>1</v>
      </c>
      <c r="E87" s="1" t="s">
        <v>5</v>
      </c>
      <c r="F87" s="54">
        <v>6000</v>
      </c>
      <c r="G87" s="54">
        <v>2400</v>
      </c>
      <c r="H87" s="70">
        <f>0.22*(F87+G87)</f>
        <v>1848</v>
      </c>
      <c r="I87" s="54">
        <f>SUM(F87:H87)</f>
        <v>10248</v>
      </c>
      <c r="J87" s="54">
        <f>D87*F87</f>
        <v>6000</v>
      </c>
      <c r="K87" s="54">
        <f>D87*G87</f>
        <v>2400</v>
      </c>
      <c r="L87" s="54">
        <f>D87*H87</f>
        <v>1848</v>
      </c>
      <c r="M87" s="69">
        <f>SUM(J87:L87)</f>
        <v>10248</v>
      </c>
    </row>
    <row r="88" spans="1:15" ht="18.75" customHeight="1" x14ac:dyDescent="0.25">
      <c r="A88" s="1"/>
      <c r="B88" s="1"/>
      <c r="C88" s="53" t="s">
        <v>190</v>
      </c>
      <c r="D88" s="1"/>
      <c r="E88" s="1"/>
      <c r="G88" s="80"/>
      <c r="H88" s="80"/>
      <c r="I88" s="54"/>
      <c r="J88" s="54"/>
      <c r="K88" s="54"/>
      <c r="L88" s="80" t="s">
        <v>208</v>
      </c>
      <c r="M88" s="81">
        <f>SUM(M85:M87)</f>
        <v>19154</v>
      </c>
      <c r="O88" s="15">
        <f>M88</f>
        <v>19154</v>
      </c>
    </row>
    <row r="89" spans="1:15" s="11" customFormat="1" ht="18.75" customHeight="1" x14ac:dyDescent="0.25">
      <c r="A89" s="85">
        <v>7</v>
      </c>
      <c r="B89" s="74"/>
      <c r="C89" s="57" t="s">
        <v>141</v>
      </c>
      <c r="D89" s="1"/>
      <c r="E89" s="1"/>
      <c r="F89" s="54"/>
      <c r="G89" s="54"/>
      <c r="H89" s="54"/>
      <c r="I89" s="54"/>
      <c r="J89" s="54"/>
      <c r="K89" s="54"/>
      <c r="L89" s="54"/>
      <c r="M89" s="69"/>
      <c r="O89" s="15"/>
    </row>
    <row r="90" spans="1:15" s="5" customFormat="1" ht="18.75" customHeight="1" x14ac:dyDescent="0.15">
      <c r="A90" s="68"/>
      <c r="B90" s="1">
        <v>7.01</v>
      </c>
      <c r="C90" s="94" t="s">
        <v>276</v>
      </c>
      <c r="D90" s="95">
        <v>70</v>
      </c>
      <c r="E90" s="1" t="s">
        <v>98</v>
      </c>
      <c r="F90" s="70">
        <v>3700</v>
      </c>
      <c r="G90" s="70">
        <v>1500</v>
      </c>
      <c r="H90" s="70">
        <f>0.22*(F90+G90)</f>
        <v>1144</v>
      </c>
      <c r="I90" s="54">
        <f>SUM(F90:H90)</f>
        <v>6344</v>
      </c>
      <c r="J90" s="54">
        <f t="shared" si="19"/>
        <v>259000</v>
      </c>
      <c r="K90" s="54">
        <f t="shared" si="13"/>
        <v>105000</v>
      </c>
      <c r="L90" s="54">
        <f t="shared" si="14"/>
        <v>80080</v>
      </c>
      <c r="M90" s="69">
        <f t="shared" ref="M90:M100" si="26">SUM(J90:L90)</f>
        <v>444080</v>
      </c>
    </row>
    <row r="91" spans="1:15" s="5" customFormat="1" ht="18.75" customHeight="1" x14ac:dyDescent="0.15">
      <c r="A91" s="68"/>
      <c r="B91" s="1">
        <v>7.01</v>
      </c>
      <c r="C91" s="94" t="s">
        <v>290</v>
      </c>
      <c r="D91" s="95">
        <v>70</v>
      </c>
      <c r="E91" s="1" t="s">
        <v>98</v>
      </c>
      <c r="F91" s="70">
        <v>3700</v>
      </c>
      <c r="G91" s="70">
        <v>1500</v>
      </c>
      <c r="H91" s="70">
        <f>0.22*(F91+G91)</f>
        <v>1144</v>
      </c>
      <c r="I91" s="54">
        <f>SUM(F91:H91)</f>
        <v>6344</v>
      </c>
      <c r="J91" s="54">
        <f>D91*F91</f>
        <v>259000</v>
      </c>
      <c r="K91" s="54">
        <f>D91*G91</f>
        <v>105000</v>
      </c>
      <c r="L91" s="54">
        <f>D91*H91</f>
        <v>80080</v>
      </c>
      <c r="M91" s="69">
        <f t="shared" si="26"/>
        <v>444080</v>
      </c>
    </row>
    <row r="92" spans="1:15" ht="18.75" customHeight="1" x14ac:dyDescent="0.25">
      <c r="A92" s="1"/>
      <c r="B92" s="1">
        <f>B90+0.01</f>
        <v>7.02</v>
      </c>
      <c r="C92" s="96" t="s">
        <v>212</v>
      </c>
      <c r="D92" s="95">
        <v>8</v>
      </c>
      <c r="E92" s="1" t="s">
        <v>197</v>
      </c>
      <c r="F92" s="54">
        <v>200</v>
      </c>
      <c r="G92" s="54">
        <v>80</v>
      </c>
      <c r="H92" s="70">
        <f t="shared" ref="H92:H100" si="27">0.22*(F92+G92)</f>
        <v>61.6</v>
      </c>
      <c r="I92" s="54">
        <f t="shared" si="8"/>
        <v>341.6</v>
      </c>
      <c r="J92" s="54">
        <f t="shared" si="19"/>
        <v>1600</v>
      </c>
      <c r="K92" s="54">
        <f t="shared" si="13"/>
        <v>640</v>
      </c>
      <c r="L92" s="54">
        <f t="shared" si="14"/>
        <v>492.8</v>
      </c>
      <c r="M92" s="69">
        <f t="shared" si="26"/>
        <v>2732.8</v>
      </c>
    </row>
    <row r="93" spans="1:15" s="5" customFormat="1" ht="18.75" customHeight="1" x14ac:dyDescent="0.15">
      <c r="A93" s="68"/>
      <c r="B93" s="1">
        <f t="shared" ref="B93:B100" si="28">B92+0.01</f>
        <v>7.0299999999999994</v>
      </c>
      <c r="C93" s="94" t="s">
        <v>291</v>
      </c>
      <c r="D93" s="95">
        <v>20</v>
      </c>
      <c r="E93" s="1" t="s">
        <v>197</v>
      </c>
      <c r="F93" s="70">
        <v>80</v>
      </c>
      <c r="G93" s="70">
        <v>32</v>
      </c>
      <c r="H93" s="70">
        <f t="shared" si="27"/>
        <v>24.64</v>
      </c>
      <c r="I93" s="54">
        <f t="shared" si="8"/>
        <v>136.63999999999999</v>
      </c>
      <c r="J93" s="54">
        <f t="shared" si="19"/>
        <v>1600</v>
      </c>
      <c r="K93" s="54">
        <f t="shared" si="13"/>
        <v>640</v>
      </c>
      <c r="L93" s="54">
        <f t="shared" si="14"/>
        <v>492.8</v>
      </c>
      <c r="M93" s="69">
        <f t="shared" si="26"/>
        <v>2732.8</v>
      </c>
    </row>
    <row r="94" spans="1:15" s="5" customFormat="1" ht="18.75" customHeight="1" x14ac:dyDescent="0.15">
      <c r="A94" s="68"/>
      <c r="B94" s="1">
        <f t="shared" si="28"/>
        <v>7.0399999999999991</v>
      </c>
      <c r="C94" s="94" t="s">
        <v>292</v>
      </c>
      <c r="D94" s="95">
        <v>10</v>
      </c>
      <c r="E94" s="1" t="s">
        <v>197</v>
      </c>
      <c r="F94" s="70">
        <v>10</v>
      </c>
      <c r="G94" s="70">
        <v>4</v>
      </c>
      <c r="H94" s="70">
        <f t="shared" si="27"/>
        <v>3.08</v>
      </c>
      <c r="I94" s="54">
        <f>SUM(F94:H94)</f>
        <v>17.079999999999998</v>
      </c>
      <c r="J94" s="54">
        <f t="shared" si="19"/>
        <v>100</v>
      </c>
      <c r="K94" s="54">
        <f t="shared" si="13"/>
        <v>40</v>
      </c>
      <c r="L94" s="54">
        <f t="shared" si="14"/>
        <v>30.8</v>
      </c>
      <c r="M94" s="69">
        <f t="shared" si="26"/>
        <v>170.8</v>
      </c>
    </row>
    <row r="95" spans="1:15" s="5" customFormat="1" ht="18.75" customHeight="1" x14ac:dyDescent="0.15">
      <c r="A95" s="68"/>
      <c r="B95" s="1">
        <f t="shared" si="28"/>
        <v>7.0499999999999989</v>
      </c>
      <c r="C95" s="94" t="s">
        <v>293</v>
      </c>
      <c r="D95" s="95">
        <v>3</v>
      </c>
      <c r="E95" s="1" t="s">
        <v>197</v>
      </c>
      <c r="F95" s="70">
        <v>20</v>
      </c>
      <c r="G95" s="70">
        <v>8</v>
      </c>
      <c r="H95" s="70">
        <f t="shared" si="27"/>
        <v>6.16</v>
      </c>
      <c r="I95" s="54">
        <f>SUM(F95:H95)</f>
        <v>34.159999999999997</v>
      </c>
      <c r="J95" s="54">
        <f t="shared" si="19"/>
        <v>60</v>
      </c>
      <c r="K95" s="54">
        <f t="shared" si="13"/>
        <v>24</v>
      </c>
      <c r="L95" s="54">
        <f t="shared" si="14"/>
        <v>18.48</v>
      </c>
      <c r="M95" s="69">
        <f t="shared" si="26"/>
        <v>102.48</v>
      </c>
    </row>
    <row r="96" spans="1:15" ht="18.75" customHeight="1" x14ac:dyDescent="0.25">
      <c r="A96" s="1"/>
      <c r="B96" s="1">
        <f t="shared" si="28"/>
        <v>7.0599999999999987</v>
      </c>
      <c r="C96" s="96" t="s">
        <v>213</v>
      </c>
      <c r="D96" s="95">
        <v>9</v>
      </c>
      <c r="E96" s="1" t="s">
        <v>197</v>
      </c>
      <c r="F96" s="54">
        <v>25</v>
      </c>
      <c r="G96" s="54">
        <v>10</v>
      </c>
      <c r="H96" s="70">
        <f t="shared" si="27"/>
        <v>7.7</v>
      </c>
      <c r="I96" s="54">
        <f t="shared" si="8"/>
        <v>42.7</v>
      </c>
      <c r="J96" s="54">
        <f t="shared" si="19"/>
        <v>225</v>
      </c>
      <c r="K96" s="54">
        <f t="shared" si="13"/>
        <v>90</v>
      </c>
      <c r="L96" s="54">
        <f t="shared" si="14"/>
        <v>69.3</v>
      </c>
      <c r="M96" s="69">
        <f t="shared" si="26"/>
        <v>384.3</v>
      </c>
    </row>
    <row r="97" spans="1:15" ht="18.75" customHeight="1" x14ac:dyDescent="0.25">
      <c r="A97" s="1"/>
      <c r="B97" s="1">
        <f t="shared" si="28"/>
        <v>7.0699999999999985</v>
      </c>
      <c r="C97" s="96" t="s">
        <v>278</v>
      </c>
      <c r="D97" s="95">
        <v>9</v>
      </c>
      <c r="E97" s="1" t="s">
        <v>197</v>
      </c>
      <c r="F97" s="54">
        <v>30</v>
      </c>
      <c r="G97" s="54">
        <v>12</v>
      </c>
      <c r="H97" s="70">
        <f t="shared" si="27"/>
        <v>9.24</v>
      </c>
      <c r="I97" s="54">
        <f t="shared" si="8"/>
        <v>51.24</v>
      </c>
      <c r="J97" s="54">
        <f t="shared" si="19"/>
        <v>270</v>
      </c>
      <c r="K97" s="54">
        <f t="shared" si="13"/>
        <v>108</v>
      </c>
      <c r="L97" s="54">
        <f t="shared" si="14"/>
        <v>83.16</v>
      </c>
      <c r="M97" s="69">
        <f t="shared" si="26"/>
        <v>461.15999999999997</v>
      </c>
    </row>
    <row r="98" spans="1:15" ht="18.75" customHeight="1" x14ac:dyDescent="0.25">
      <c r="A98" s="1"/>
      <c r="B98" s="1">
        <f t="shared" si="28"/>
        <v>7.0799999999999983</v>
      </c>
      <c r="C98" s="96" t="s">
        <v>211</v>
      </c>
      <c r="D98" s="95">
        <v>10</v>
      </c>
      <c r="E98" s="1" t="s">
        <v>197</v>
      </c>
      <c r="F98" s="54">
        <v>30</v>
      </c>
      <c r="G98" s="54">
        <v>12</v>
      </c>
      <c r="H98" s="70">
        <f t="shared" si="27"/>
        <v>9.24</v>
      </c>
      <c r="I98" s="54">
        <f t="shared" si="8"/>
        <v>51.24</v>
      </c>
      <c r="J98" s="54">
        <f t="shared" si="19"/>
        <v>300</v>
      </c>
      <c r="K98" s="54">
        <f t="shared" si="13"/>
        <v>120</v>
      </c>
      <c r="L98" s="54">
        <f t="shared" si="14"/>
        <v>92.4</v>
      </c>
      <c r="M98" s="69">
        <f t="shared" si="26"/>
        <v>512.4</v>
      </c>
    </row>
    <row r="99" spans="1:15" ht="18.75" customHeight="1" x14ac:dyDescent="0.25">
      <c r="A99" s="1"/>
      <c r="B99" s="1">
        <f t="shared" si="28"/>
        <v>7.0899999999999981</v>
      </c>
      <c r="C99" s="96" t="s">
        <v>263</v>
      </c>
      <c r="D99" s="95">
        <v>1</v>
      </c>
      <c r="E99" s="1" t="s">
        <v>197</v>
      </c>
      <c r="F99" s="54">
        <v>120</v>
      </c>
      <c r="G99" s="54">
        <v>50</v>
      </c>
      <c r="H99" s="70">
        <f t="shared" si="27"/>
        <v>37.4</v>
      </c>
      <c r="I99" s="54">
        <f t="shared" si="8"/>
        <v>207.4</v>
      </c>
      <c r="J99" s="54">
        <f t="shared" si="19"/>
        <v>120</v>
      </c>
      <c r="K99" s="54">
        <f t="shared" si="13"/>
        <v>50</v>
      </c>
      <c r="L99" s="54">
        <f t="shared" si="14"/>
        <v>37.4</v>
      </c>
      <c r="M99" s="69">
        <f t="shared" si="26"/>
        <v>207.4</v>
      </c>
    </row>
    <row r="100" spans="1:15" s="6" customFormat="1" ht="18.75" customHeight="1" x14ac:dyDescent="0.15">
      <c r="A100" s="1"/>
      <c r="B100" s="1">
        <f t="shared" si="28"/>
        <v>7.0999999999999979</v>
      </c>
      <c r="C100" s="96" t="s">
        <v>280</v>
      </c>
      <c r="D100" s="95">
        <v>1</v>
      </c>
      <c r="E100" s="1" t="s">
        <v>5</v>
      </c>
      <c r="F100" s="54">
        <v>600</v>
      </c>
      <c r="G100" s="54">
        <v>240</v>
      </c>
      <c r="H100" s="70">
        <f t="shared" si="27"/>
        <v>184.8</v>
      </c>
      <c r="I100" s="54">
        <f t="shared" si="8"/>
        <v>1024.8</v>
      </c>
      <c r="J100" s="54">
        <f>D100*F100</f>
        <v>600</v>
      </c>
      <c r="K100" s="54">
        <f>D100*G100</f>
        <v>240</v>
      </c>
      <c r="L100" s="54">
        <f>D100*H100</f>
        <v>184.8</v>
      </c>
      <c r="M100" s="69">
        <f t="shared" si="26"/>
        <v>1024.8</v>
      </c>
    </row>
    <row r="101" spans="1:15" ht="18.75" customHeight="1" x14ac:dyDescent="0.25">
      <c r="A101" s="1"/>
      <c r="B101" s="1"/>
      <c r="C101" s="53" t="s">
        <v>190</v>
      </c>
      <c r="D101" s="1"/>
      <c r="E101" s="1"/>
      <c r="G101" s="80"/>
      <c r="H101" s="80"/>
      <c r="I101" s="54"/>
      <c r="J101" s="54"/>
      <c r="K101" s="54"/>
      <c r="L101" s="80" t="s">
        <v>208</v>
      </c>
      <c r="M101" s="81">
        <f>SUM(M90:M100)</f>
        <v>896488.94000000029</v>
      </c>
      <c r="O101" s="15">
        <f>M101</f>
        <v>896488.94000000029</v>
      </c>
    </row>
    <row r="102" spans="1:15" s="11" customFormat="1" ht="18.75" customHeight="1" x14ac:dyDescent="0.25">
      <c r="A102" s="85">
        <v>7</v>
      </c>
      <c r="B102" s="74"/>
      <c r="C102" s="57" t="s">
        <v>241</v>
      </c>
      <c r="D102" s="1"/>
      <c r="E102" s="1"/>
      <c r="F102" s="54"/>
      <c r="G102" s="54"/>
      <c r="H102" s="54"/>
      <c r="I102" s="54"/>
      <c r="J102" s="54"/>
      <c r="K102" s="54"/>
      <c r="L102" s="54"/>
      <c r="M102" s="69"/>
      <c r="O102" s="15"/>
    </row>
    <row r="103" spans="1:15" s="11" customFormat="1" ht="18.75" customHeight="1" x14ac:dyDescent="0.25">
      <c r="A103" s="85"/>
      <c r="B103" s="74"/>
      <c r="C103" s="53" t="s">
        <v>243</v>
      </c>
      <c r="D103" s="1"/>
      <c r="E103" s="1"/>
      <c r="F103" s="54"/>
      <c r="G103" s="54"/>
      <c r="H103" s="54"/>
      <c r="I103" s="54"/>
      <c r="J103" s="54"/>
      <c r="K103" s="54"/>
      <c r="L103" s="54"/>
      <c r="M103" s="69"/>
      <c r="O103" s="15"/>
    </row>
    <row r="104" spans="1:15" s="5" customFormat="1" ht="18.75" customHeight="1" x14ac:dyDescent="0.15">
      <c r="A104" s="68"/>
      <c r="B104" s="1">
        <v>7.01</v>
      </c>
      <c r="C104" s="71" t="s">
        <v>152</v>
      </c>
      <c r="D104" s="1">
        <v>2</v>
      </c>
      <c r="E104" s="1" t="s">
        <v>1</v>
      </c>
      <c r="F104" s="70">
        <v>1200</v>
      </c>
      <c r="G104" s="70">
        <v>480</v>
      </c>
      <c r="H104" s="70">
        <f>0.22*(F104+G104)</f>
        <v>369.6</v>
      </c>
      <c r="I104" s="54">
        <f t="shared" si="8"/>
        <v>2049.6</v>
      </c>
      <c r="J104" s="54">
        <f t="shared" si="19"/>
        <v>2400</v>
      </c>
      <c r="K104" s="54">
        <f t="shared" si="13"/>
        <v>960</v>
      </c>
      <c r="L104" s="54">
        <f t="shared" si="14"/>
        <v>739.2</v>
      </c>
      <c r="M104" s="69">
        <f>SUM(J104:L104)</f>
        <v>4099.2</v>
      </c>
    </row>
    <row r="105" spans="1:15" ht="18.75" customHeight="1" x14ac:dyDescent="0.25">
      <c r="A105" s="1"/>
      <c r="B105" s="1">
        <f>B104+0.01</f>
        <v>7.02</v>
      </c>
      <c r="C105" s="76" t="s">
        <v>247</v>
      </c>
      <c r="D105" s="1">
        <v>2</v>
      </c>
      <c r="E105" s="1" t="s">
        <v>1</v>
      </c>
      <c r="F105" s="54">
        <v>400</v>
      </c>
      <c r="G105" s="54">
        <v>160</v>
      </c>
      <c r="H105" s="70">
        <f t="shared" ref="H105:H118" si="29">0.22*(F105+G105)</f>
        <v>123.2</v>
      </c>
      <c r="I105" s="54">
        <f t="shared" si="8"/>
        <v>683.2</v>
      </c>
      <c r="J105" s="54">
        <f t="shared" si="19"/>
        <v>800</v>
      </c>
      <c r="K105" s="54">
        <f t="shared" si="13"/>
        <v>320</v>
      </c>
      <c r="L105" s="54">
        <f t="shared" si="14"/>
        <v>246.4</v>
      </c>
      <c r="M105" s="69">
        <f t="shared" ref="M105:M118" si="30">SUM(J105:L105)</f>
        <v>1366.4</v>
      </c>
    </row>
    <row r="106" spans="1:15" ht="18.75" customHeight="1" x14ac:dyDescent="0.25">
      <c r="A106" s="1"/>
      <c r="B106" s="1"/>
      <c r="C106" s="53" t="s">
        <v>244</v>
      </c>
      <c r="D106" s="1"/>
      <c r="E106" s="1"/>
      <c r="F106" s="54"/>
      <c r="G106" s="54"/>
      <c r="H106" s="70"/>
      <c r="I106" s="54"/>
      <c r="J106" s="54"/>
      <c r="K106" s="54"/>
      <c r="L106" s="54"/>
      <c r="M106" s="69"/>
    </row>
    <row r="107" spans="1:15" ht="18.75" customHeight="1" x14ac:dyDescent="0.25">
      <c r="A107" s="1"/>
      <c r="B107" s="1">
        <f>B105+0.01</f>
        <v>7.0299999999999994</v>
      </c>
      <c r="C107" s="76" t="s">
        <v>250</v>
      </c>
      <c r="D107" s="1">
        <v>2</v>
      </c>
      <c r="E107" s="1" t="s">
        <v>197</v>
      </c>
      <c r="F107" s="54">
        <v>250</v>
      </c>
      <c r="G107" s="54">
        <v>100</v>
      </c>
      <c r="H107" s="70">
        <f t="shared" si="29"/>
        <v>77</v>
      </c>
      <c r="I107" s="54">
        <f t="shared" si="8"/>
        <v>427</v>
      </c>
      <c r="J107" s="54">
        <f t="shared" si="19"/>
        <v>500</v>
      </c>
      <c r="K107" s="54">
        <f t="shared" si="13"/>
        <v>200</v>
      </c>
      <c r="L107" s="54">
        <f t="shared" si="14"/>
        <v>154</v>
      </c>
      <c r="M107" s="69">
        <f t="shared" si="30"/>
        <v>854</v>
      </c>
    </row>
    <row r="108" spans="1:15" ht="18.75" customHeight="1" x14ac:dyDescent="0.25">
      <c r="A108" s="1"/>
      <c r="B108" s="1">
        <f>B107+0.01</f>
        <v>7.0399999999999991</v>
      </c>
      <c r="C108" s="76" t="s">
        <v>245</v>
      </c>
      <c r="D108" s="1">
        <v>2</v>
      </c>
      <c r="E108" s="1" t="s">
        <v>197</v>
      </c>
      <c r="F108" s="54">
        <v>50</v>
      </c>
      <c r="G108" s="54">
        <v>20</v>
      </c>
      <c r="H108" s="70">
        <f t="shared" si="29"/>
        <v>15.4</v>
      </c>
      <c r="I108" s="54">
        <f t="shared" si="8"/>
        <v>85.4</v>
      </c>
      <c r="J108" s="54">
        <f t="shared" si="19"/>
        <v>100</v>
      </c>
      <c r="K108" s="54">
        <f t="shared" si="13"/>
        <v>40</v>
      </c>
      <c r="L108" s="54">
        <f t="shared" si="14"/>
        <v>30.8</v>
      </c>
      <c r="M108" s="69">
        <f t="shared" si="30"/>
        <v>170.8</v>
      </c>
    </row>
    <row r="109" spans="1:15" ht="18.75" customHeight="1" x14ac:dyDescent="0.25">
      <c r="A109" s="1"/>
      <c r="B109" s="1">
        <f>B108+0.01</f>
        <v>7.0499999999999989</v>
      </c>
      <c r="C109" s="76" t="s">
        <v>246</v>
      </c>
      <c r="D109" s="1">
        <v>5</v>
      </c>
      <c r="E109" s="1" t="s">
        <v>197</v>
      </c>
      <c r="F109" s="54">
        <v>30</v>
      </c>
      <c r="G109" s="54">
        <v>12</v>
      </c>
      <c r="H109" s="70">
        <f t="shared" si="29"/>
        <v>9.24</v>
      </c>
      <c r="I109" s="54">
        <f t="shared" si="8"/>
        <v>51.24</v>
      </c>
      <c r="J109" s="54">
        <f t="shared" si="19"/>
        <v>150</v>
      </c>
      <c r="K109" s="54">
        <f t="shared" si="13"/>
        <v>60</v>
      </c>
      <c r="L109" s="54">
        <f t="shared" si="14"/>
        <v>46.2</v>
      </c>
      <c r="M109" s="69">
        <f t="shared" si="30"/>
        <v>256.2</v>
      </c>
    </row>
    <row r="110" spans="1:15" ht="18.75" customHeight="1" x14ac:dyDescent="0.25">
      <c r="A110" s="1"/>
      <c r="B110" s="1">
        <f>B109+0.01</f>
        <v>7.0599999999999987</v>
      </c>
      <c r="C110" s="76" t="s">
        <v>248</v>
      </c>
      <c r="D110" s="1">
        <v>3</v>
      </c>
      <c r="E110" s="1" t="s">
        <v>197</v>
      </c>
      <c r="F110" s="54">
        <v>50</v>
      </c>
      <c r="G110" s="54">
        <v>20</v>
      </c>
      <c r="H110" s="70">
        <f t="shared" si="29"/>
        <v>15.4</v>
      </c>
      <c r="I110" s="54">
        <f t="shared" si="8"/>
        <v>85.4</v>
      </c>
      <c r="J110" s="54">
        <f t="shared" si="19"/>
        <v>150</v>
      </c>
      <c r="K110" s="54">
        <f t="shared" si="13"/>
        <v>60</v>
      </c>
      <c r="L110" s="54">
        <f t="shared" si="14"/>
        <v>46.2</v>
      </c>
      <c r="M110" s="69">
        <f t="shared" si="30"/>
        <v>256.2</v>
      </c>
    </row>
    <row r="111" spans="1:15" ht="18.75" customHeight="1" x14ac:dyDescent="0.25">
      <c r="A111" s="1"/>
      <c r="B111" s="1">
        <f>B110+0.01</f>
        <v>7.0699999999999985</v>
      </c>
      <c r="C111" s="76" t="s">
        <v>249</v>
      </c>
      <c r="D111" s="1">
        <v>1</v>
      </c>
      <c r="E111" s="1" t="s">
        <v>197</v>
      </c>
      <c r="F111" s="54">
        <v>30</v>
      </c>
      <c r="G111" s="54">
        <v>12</v>
      </c>
      <c r="H111" s="70">
        <f t="shared" si="29"/>
        <v>9.24</v>
      </c>
      <c r="I111" s="54">
        <f t="shared" si="8"/>
        <v>51.24</v>
      </c>
      <c r="J111" s="54">
        <f t="shared" si="19"/>
        <v>30</v>
      </c>
      <c r="K111" s="54">
        <f t="shared" si="13"/>
        <v>12</v>
      </c>
      <c r="L111" s="54">
        <f t="shared" si="14"/>
        <v>9.24</v>
      </c>
      <c r="M111" s="69">
        <f t="shared" si="30"/>
        <v>51.24</v>
      </c>
    </row>
    <row r="112" spans="1:15" ht="18.75" customHeight="1" x14ac:dyDescent="0.25">
      <c r="A112" s="1"/>
      <c r="B112" s="1">
        <f>B111+0.01</f>
        <v>7.0799999999999983</v>
      </c>
      <c r="C112" s="76" t="s">
        <v>263</v>
      </c>
      <c r="D112" s="1">
        <v>1</v>
      </c>
      <c r="E112" s="1" t="s">
        <v>197</v>
      </c>
      <c r="F112" s="54">
        <v>120</v>
      </c>
      <c r="G112" s="54">
        <v>50</v>
      </c>
      <c r="H112" s="70">
        <f t="shared" si="29"/>
        <v>37.4</v>
      </c>
      <c r="I112" s="54">
        <f t="shared" si="8"/>
        <v>207.4</v>
      </c>
      <c r="J112" s="54">
        <f t="shared" si="19"/>
        <v>120</v>
      </c>
      <c r="K112" s="54">
        <f t="shared" si="13"/>
        <v>50</v>
      </c>
      <c r="L112" s="54">
        <f t="shared" si="14"/>
        <v>37.4</v>
      </c>
      <c r="M112" s="69">
        <f t="shared" si="30"/>
        <v>207.4</v>
      </c>
    </row>
    <row r="113" spans="1:17" ht="18.75" customHeight="1" x14ac:dyDescent="0.25">
      <c r="A113" s="1"/>
      <c r="B113" s="1"/>
      <c r="C113" s="56" t="s">
        <v>251</v>
      </c>
      <c r="D113" s="1"/>
      <c r="E113" s="1"/>
      <c r="F113" s="54"/>
      <c r="G113" s="80"/>
      <c r="H113" s="70"/>
      <c r="I113" s="54"/>
      <c r="J113" s="54"/>
      <c r="K113" s="54"/>
      <c r="L113" s="54"/>
      <c r="M113" s="69"/>
    </row>
    <row r="114" spans="1:17" ht="18.75" customHeight="1" x14ac:dyDescent="0.25">
      <c r="A114" s="1"/>
      <c r="B114" s="1">
        <f>B112+0.01</f>
        <v>7.0899999999999981</v>
      </c>
      <c r="C114" s="76" t="s">
        <v>252</v>
      </c>
      <c r="D114" s="1">
        <v>2</v>
      </c>
      <c r="E114" s="1" t="s">
        <v>197</v>
      </c>
      <c r="F114" s="90">
        <v>250</v>
      </c>
      <c r="G114" s="54">
        <v>100</v>
      </c>
      <c r="H114" s="70">
        <f t="shared" si="29"/>
        <v>77</v>
      </c>
      <c r="I114" s="54">
        <f t="shared" si="8"/>
        <v>427</v>
      </c>
      <c r="J114" s="54">
        <f t="shared" si="19"/>
        <v>500</v>
      </c>
      <c r="K114" s="54">
        <f t="shared" si="13"/>
        <v>200</v>
      </c>
      <c r="L114" s="54">
        <f t="shared" si="14"/>
        <v>154</v>
      </c>
      <c r="M114" s="69">
        <f t="shared" si="30"/>
        <v>854</v>
      </c>
      <c r="O114" s="15"/>
    </row>
    <row r="115" spans="1:17" ht="18.75" customHeight="1" x14ac:dyDescent="0.25">
      <c r="A115" s="1"/>
      <c r="B115" s="1">
        <f>B114+0.01</f>
        <v>7.0999999999999979</v>
      </c>
      <c r="C115" s="76" t="s">
        <v>281</v>
      </c>
      <c r="D115" s="1">
        <v>1</v>
      </c>
      <c r="E115" s="1" t="s">
        <v>197</v>
      </c>
      <c r="F115" s="54">
        <v>60</v>
      </c>
      <c r="G115" s="54">
        <v>25</v>
      </c>
      <c r="H115" s="70">
        <f t="shared" si="29"/>
        <v>18.7</v>
      </c>
      <c r="I115" s="54">
        <f t="shared" si="8"/>
        <v>103.7</v>
      </c>
      <c r="J115" s="54">
        <f t="shared" si="19"/>
        <v>60</v>
      </c>
      <c r="K115" s="54">
        <f t="shared" si="13"/>
        <v>25</v>
      </c>
      <c r="L115" s="54">
        <f t="shared" si="14"/>
        <v>18.7</v>
      </c>
      <c r="M115" s="69">
        <f t="shared" si="30"/>
        <v>103.7</v>
      </c>
    </row>
    <row r="116" spans="1:17" ht="18.75" customHeight="1" x14ac:dyDescent="0.25">
      <c r="A116" s="1"/>
      <c r="B116" s="1">
        <f>B115+0.01</f>
        <v>7.1099999999999977</v>
      </c>
      <c r="C116" s="76" t="s">
        <v>253</v>
      </c>
      <c r="D116" s="1">
        <v>1</v>
      </c>
      <c r="E116" s="1" t="s">
        <v>197</v>
      </c>
      <c r="F116" s="54">
        <v>12</v>
      </c>
      <c r="G116" s="54">
        <v>5</v>
      </c>
      <c r="H116" s="70">
        <f t="shared" si="29"/>
        <v>3.74</v>
      </c>
      <c r="I116" s="54">
        <f t="shared" si="8"/>
        <v>20.740000000000002</v>
      </c>
      <c r="J116" s="54">
        <f t="shared" si="19"/>
        <v>12</v>
      </c>
      <c r="K116" s="54">
        <f t="shared" si="13"/>
        <v>5</v>
      </c>
      <c r="L116" s="54">
        <f t="shared" si="14"/>
        <v>3.74</v>
      </c>
      <c r="M116" s="69">
        <f t="shared" si="30"/>
        <v>20.740000000000002</v>
      </c>
    </row>
    <row r="117" spans="1:17" ht="18.75" customHeight="1" x14ac:dyDescent="0.25">
      <c r="A117" s="1"/>
      <c r="B117" s="1">
        <f>B116+0.01</f>
        <v>7.1199999999999974</v>
      </c>
      <c r="C117" s="76" t="s">
        <v>254</v>
      </c>
      <c r="D117" s="1">
        <v>3</v>
      </c>
      <c r="E117" s="1" t="s">
        <v>197</v>
      </c>
      <c r="F117" s="54">
        <v>8</v>
      </c>
      <c r="G117" s="54">
        <v>3</v>
      </c>
      <c r="H117" s="70">
        <f t="shared" si="29"/>
        <v>2.42</v>
      </c>
      <c r="I117" s="54">
        <f t="shared" si="8"/>
        <v>13.42</v>
      </c>
      <c r="J117" s="54">
        <f t="shared" si="19"/>
        <v>24</v>
      </c>
      <c r="K117" s="54">
        <f t="shared" si="13"/>
        <v>9</v>
      </c>
      <c r="L117" s="54">
        <f t="shared" si="14"/>
        <v>7.26</v>
      </c>
      <c r="M117" s="69">
        <f t="shared" si="30"/>
        <v>40.26</v>
      </c>
    </row>
    <row r="118" spans="1:17" ht="18.75" customHeight="1" x14ac:dyDescent="0.25">
      <c r="A118" s="1"/>
      <c r="B118" s="1">
        <f>B117+0.01</f>
        <v>7.1299999999999972</v>
      </c>
      <c r="C118" s="76" t="s">
        <v>255</v>
      </c>
      <c r="D118" s="1">
        <v>2</v>
      </c>
      <c r="E118" s="1" t="s">
        <v>197</v>
      </c>
      <c r="F118" s="54">
        <v>12</v>
      </c>
      <c r="G118" s="54">
        <v>5</v>
      </c>
      <c r="H118" s="70">
        <f t="shared" si="29"/>
        <v>3.74</v>
      </c>
      <c r="I118" s="54">
        <f t="shared" si="8"/>
        <v>20.740000000000002</v>
      </c>
      <c r="J118" s="54">
        <f t="shared" si="19"/>
        <v>24</v>
      </c>
      <c r="K118" s="54">
        <f t="shared" si="13"/>
        <v>10</v>
      </c>
      <c r="L118" s="54">
        <f t="shared" si="14"/>
        <v>7.48</v>
      </c>
      <c r="M118" s="69">
        <f t="shared" si="30"/>
        <v>41.480000000000004</v>
      </c>
    </row>
    <row r="119" spans="1:17" ht="18.75" customHeight="1" x14ac:dyDescent="0.25">
      <c r="A119" s="1"/>
      <c r="B119" s="1"/>
      <c r="C119" s="76"/>
      <c r="D119" s="1"/>
      <c r="E119" s="1"/>
      <c r="F119" s="87"/>
      <c r="G119" s="80"/>
      <c r="H119" s="80"/>
      <c r="I119" s="54"/>
      <c r="J119" s="54"/>
      <c r="K119" s="54"/>
      <c r="L119" s="80" t="s">
        <v>208</v>
      </c>
      <c r="M119" s="81">
        <f>SUM(M104:M118)</f>
        <v>8321.619999999999</v>
      </c>
      <c r="O119" s="15">
        <f>M119</f>
        <v>8321.619999999999</v>
      </c>
    </row>
    <row r="120" spans="1:17" s="11" customFormat="1" ht="18.75" customHeight="1" x14ac:dyDescent="0.25">
      <c r="A120" s="85">
        <v>8</v>
      </c>
      <c r="B120" s="74"/>
      <c r="C120" s="57" t="s">
        <v>154</v>
      </c>
      <c r="D120" s="1"/>
      <c r="E120" s="1"/>
      <c r="F120" s="54"/>
      <c r="G120" s="54"/>
      <c r="H120" s="54"/>
      <c r="I120" s="54"/>
      <c r="J120" s="54"/>
      <c r="K120" s="54"/>
      <c r="L120" s="54"/>
      <c r="M120" s="69"/>
      <c r="O120" s="15"/>
    </row>
    <row r="121" spans="1:17" s="5" customFormat="1" ht="18.75" customHeight="1" x14ac:dyDescent="0.15">
      <c r="A121" s="68"/>
      <c r="B121" s="1"/>
      <c r="C121" s="67" t="s">
        <v>285</v>
      </c>
      <c r="D121" s="1"/>
      <c r="E121" s="1"/>
      <c r="F121" s="70"/>
      <c r="G121" s="70"/>
      <c r="H121" s="70"/>
      <c r="I121" s="54"/>
      <c r="J121" s="54"/>
      <c r="K121" s="54"/>
      <c r="L121" s="54"/>
      <c r="M121" s="69"/>
    </row>
    <row r="122" spans="1:17" s="5" customFormat="1" ht="18.75" customHeight="1" x14ac:dyDescent="0.15">
      <c r="A122" s="68"/>
      <c r="B122" s="1">
        <v>8.1</v>
      </c>
      <c r="C122" s="71" t="s">
        <v>178</v>
      </c>
      <c r="D122" s="1">
        <v>14</v>
      </c>
      <c r="E122" s="1" t="s">
        <v>136</v>
      </c>
      <c r="F122" s="70">
        <v>290</v>
      </c>
      <c r="G122" s="70">
        <v>175</v>
      </c>
      <c r="H122" s="70">
        <f>0.22*(F122+G122)</f>
        <v>102.3</v>
      </c>
      <c r="I122" s="54">
        <f t="shared" si="8"/>
        <v>567.29999999999995</v>
      </c>
      <c r="J122" s="54">
        <f t="shared" si="19"/>
        <v>4060</v>
      </c>
      <c r="K122" s="54">
        <f t="shared" si="13"/>
        <v>2450</v>
      </c>
      <c r="L122" s="54">
        <f t="shared" si="14"/>
        <v>1432.2</v>
      </c>
      <c r="M122" s="69">
        <f>SUM(J122:L122)</f>
        <v>7942.2</v>
      </c>
    </row>
    <row r="123" spans="1:17" s="5" customFormat="1" ht="18.75" customHeight="1" x14ac:dyDescent="0.15">
      <c r="A123" s="68"/>
      <c r="B123" s="1">
        <f>B122+0.01</f>
        <v>8.11</v>
      </c>
      <c r="C123" s="71" t="s">
        <v>227</v>
      </c>
      <c r="D123" s="1">
        <v>22</v>
      </c>
      <c r="E123" s="1" t="s">
        <v>136</v>
      </c>
      <c r="F123" s="70">
        <v>800</v>
      </c>
      <c r="G123" s="70">
        <v>480</v>
      </c>
      <c r="H123" s="70">
        <f t="shared" ref="H123:H129" si="31">0.22*(F123+G123)</f>
        <v>281.60000000000002</v>
      </c>
      <c r="I123" s="54">
        <f t="shared" si="8"/>
        <v>1561.6</v>
      </c>
      <c r="J123" s="54">
        <f t="shared" si="19"/>
        <v>17600</v>
      </c>
      <c r="K123" s="54">
        <f t="shared" si="13"/>
        <v>10560</v>
      </c>
      <c r="L123" s="54">
        <f t="shared" si="14"/>
        <v>6195.2000000000007</v>
      </c>
      <c r="M123" s="69">
        <f>SUM(J123:L123)</f>
        <v>34355.199999999997</v>
      </c>
    </row>
    <row r="124" spans="1:17" s="5" customFormat="1" ht="18.75" customHeight="1" x14ac:dyDescent="0.15">
      <c r="A124" s="68"/>
      <c r="B124" s="1">
        <f>B123+0.01</f>
        <v>8.1199999999999992</v>
      </c>
      <c r="C124" s="71" t="s">
        <v>179</v>
      </c>
      <c r="D124" s="1">
        <v>1</v>
      </c>
      <c r="E124" s="1" t="s">
        <v>5</v>
      </c>
      <c r="F124" s="70">
        <v>6000</v>
      </c>
      <c r="G124" s="70">
        <v>3600</v>
      </c>
      <c r="H124" s="70">
        <f t="shared" si="31"/>
        <v>2112</v>
      </c>
      <c r="I124" s="54">
        <f t="shared" si="8"/>
        <v>11712</v>
      </c>
      <c r="J124" s="54">
        <f t="shared" si="19"/>
        <v>6000</v>
      </c>
      <c r="K124" s="54">
        <f t="shared" si="13"/>
        <v>3600</v>
      </c>
      <c r="L124" s="54">
        <f t="shared" si="14"/>
        <v>2112</v>
      </c>
      <c r="M124" s="69">
        <f>SUM(J124:L124)</f>
        <v>11712</v>
      </c>
    </row>
    <row r="125" spans="1:17" ht="18.75" customHeight="1" x14ac:dyDescent="0.25">
      <c r="A125" s="1"/>
      <c r="B125" s="1"/>
      <c r="C125" s="53" t="s">
        <v>286</v>
      </c>
      <c r="D125" s="1"/>
      <c r="E125" s="1"/>
      <c r="F125" s="54"/>
      <c r="G125" s="69"/>
      <c r="H125" s="70"/>
      <c r="I125" s="54"/>
      <c r="J125" s="54"/>
      <c r="K125" s="54"/>
      <c r="L125" s="54"/>
      <c r="M125" s="69"/>
      <c r="N125" s="4"/>
      <c r="Q125" s="4"/>
    </row>
    <row r="126" spans="1:17" s="5" customFormat="1" ht="18.75" customHeight="1" x14ac:dyDescent="0.15">
      <c r="A126" s="53"/>
      <c r="B126" s="1">
        <f>B124+0.01</f>
        <v>8.129999999999999</v>
      </c>
      <c r="C126" s="71" t="s">
        <v>180</v>
      </c>
      <c r="D126" s="1">
        <v>6</v>
      </c>
      <c r="E126" s="1" t="s">
        <v>136</v>
      </c>
      <c r="F126" s="70">
        <v>600</v>
      </c>
      <c r="G126" s="70">
        <v>360</v>
      </c>
      <c r="H126" s="70">
        <f t="shared" si="31"/>
        <v>211.2</v>
      </c>
      <c r="I126" s="54">
        <f>SUM(F126:H126)</f>
        <v>1171.2</v>
      </c>
      <c r="J126" s="54">
        <f>D126*F126</f>
        <v>3600</v>
      </c>
      <c r="K126" s="54">
        <f>D126*G126</f>
        <v>2160</v>
      </c>
      <c r="L126" s="54">
        <f>D126*H126</f>
        <v>1267.1999999999998</v>
      </c>
      <c r="M126" s="69">
        <f>SUM(J126:L126)</f>
        <v>7027.2</v>
      </c>
    </row>
    <row r="127" spans="1:17" s="5" customFormat="1" ht="18.75" customHeight="1" x14ac:dyDescent="0.15">
      <c r="A127" s="53"/>
      <c r="B127" s="1">
        <f>B126+0.01</f>
        <v>8.1399999999999988</v>
      </c>
      <c r="C127" s="71" t="s">
        <v>178</v>
      </c>
      <c r="D127" s="1">
        <v>16</v>
      </c>
      <c r="E127" s="1" t="s">
        <v>136</v>
      </c>
      <c r="F127" s="70">
        <v>290</v>
      </c>
      <c r="G127" s="70">
        <v>175</v>
      </c>
      <c r="H127" s="70">
        <f t="shared" si="31"/>
        <v>102.3</v>
      </c>
      <c r="I127" s="54">
        <f>SUM(F127:H127)</f>
        <v>567.29999999999995</v>
      </c>
      <c r="J127" s="54">
        <f>D127*F127</f>
        <v>4640</v>
      </c>
      <c r="K127" s="54">
        <f>D127*G127</f>
        <v>2800</v>
      </c>
      <c r="L127" s="54">
        <f>D127*H127</f>
        <v>1636.8</v>
      </c>
      <c r="M127" s="69">
        <f>SUM(J127:L127)</f>
        <v>9076.7999999999993</v>
      </c>
    </row>
    <row r="128" spans="1:17" s="5" customFormat="1" ht="18.75" customHeight="1" x14ac:dyDescent="0.15">
      <c r="A128" s="53"/>
      <c r="B128" s="1">
        <f>B127+0.01</f>
        <v>8.1499999999999986</v>
      </c>
      <c r="C128" s="71" t="s">
        <v>227</v>
      </c>
      <c r="D128" s="1">
        <v>10</v>
      </c>
      <c r="E128" s="1" t="s">
        <v>136</v>
      </c>
      <c r="F128" s="70">
        <v>800</v>
      </c>
      <c r="G128" s="70">
        <v>480</v>
      </c>
      <c r="H128" s="70">
        <f t="shared" si="31"/>
        <v>281.60000000000002</v>
      </c>
      <c r="I128" s="54">
        <f>SUM(F128:H128)</f>
        <v>1561.6</v>
      </c>
      <c r="J128" s="54">
        <f>D128*F128</f>
        <v>8000</v>
      </c>
      <c r="K128" s="54">
        <f>D128*G128</f>
        <v>4800</v>
      </c>
      <c r="L128" s="54">
        <f>D128*H128</f>
        <v>2816</v>
      </c>
      <c r="M128" s="69">
        <f>SUM(J128:L128)</f>
        <v>15616</v>
      </c>
    </row>
    <row r="129" spans="1:17" s="5" customFormat="1" ht="18.75" customHeight="1" x14ac:dyDescent="0.15">
      <c r="A129" s="68"/>
      <c r="B129" s="1">
        <f>B128+0.01</f>
        <v>8.1599999999999984</v>
      </c>
      <c r="C129" s="71" t="s">
        <v>179</v>
      </c>
      <c r="D129" s="1">
        <v>1</v>
      </c>
      <c r="E129" s="1" t="s">
        <v>5</v>
      </c>
      <c r="F129" s="70">
        <v>2500</v>
      </c>
      <c r="G129" s="70">
        <v>1500</v>
      </c>
      <c r="H129" s="70">
        <f t="shared" si="31"/>
        <v>880</v>
      </c>
      <c r="I129" s="54">
        <f>SUM(F129:H129)</f>
        <v>4880</v>
      </c>
      <c r="J129" s="54">
        <f>D129*F129</f>
        <v>2500</v>
      </c>
      <c r="K129" s="54">
        <f>D129*G129</f>
        <v>1500</v>
      </c>
      <c r="L129" s="54">
        <f>D129*H129</f>
        <v>880</v>
      </c>
      <c r="M129" s="69">
        <f>SUM(J129:L129)</f>
        <v>4880</v>
      </c>
      <c r="N129" s="75"/>
    </row>
    <row r="130" spans="1:17" ht="18.75" customHeight="1" x14ac:dyDescent="0.25">
      <c r="A130" s="1"/>
      <c r="B130" s="1"/>
      <c r="C130" s="53" t="s">
        <v>258</v>
      </c>
      <c r="D130" s="1"/>
      <c r="E130" s="1"/>
      <c r="F130" s="54"/>
      <c r="G130" s="69"/>
      <c r="H130" s="70"/>
      <c r="I130" s="54"/>
      <c r="J130" s="54"/>
      <c r="K130" s="54"/>
      <c r="L130" s="54"/>
      <c r="M130" s="69"/>
      <c r="N130" s="4"/>
      <c r="Q130" s="4"/>
    </row>
    <row r="131" spans="1:17" s="5" customFormat="1" ht="18.75" customHeight="1" x14ac:dyDescent="0.15">
      <c r="A131" s="53"/>
      <c r="B131" s="1">
        <f>B129+0.01</f>
        <v>8.1699999999999982</v>
      </c>
      <c r="C131" s="71" t="s">
        <v>259</v>
      </c>
      <c r="D131" s="1">
        <v>20</v>
      </c>
      <c r="E131" s="1" t="s">
        <v>260</v>
      </c>
      <c r="F131" s="70">
        <v>150</v>
      </c>
      <c r="G131" s="70">
        <v>100</v>
      </c>
      <c r="H131" s="70">
        <f>0.22*(F131+G131)</f>
        <v>55</v>
      </c>
      <c r="I131" s="54">
        <f>SUM(F131:H131)</f>
        <v>305</v>
      </c>
      <c r="J131" s="54">
        <f>D131*F131</f>
        <v>3000</v>
      </c>
      <c r="K131" s="54">
        <f>D131*G131</f>
        <v>2000</v>
      </c>
      <c r="L131" s="54">
        <f>D131*H131</f>
        <v>1100</v>
      </c>
      <c r="M131" s="69">
        <f>SUM(J131:L131)</f>
        <v>6100</v>
      </c>
    </row>
    <row r="132" spans="1:17" s="5" customFormat="1" ht="18.75" customHeight="1" x14ac:dyDescent="0.15">
      <c r="A132" s="68"/>
      <c r="B132" s="1"/>
      <c r="C132" s="71"/>
      <c r="D132" s="1"/>
      <c r="E132" s="1"/>
      <c r="F132" s="88"/>
      <c r="G132" s="82"/>
      <c r="H132" s="82"/>
      <c r="I132" s="54"/>
      <c r="J132" s="54"/>
      <c r="K132" s="54"/>
      <c r="L132" s="82" t="s">
        <v>208</v>
      </c>
      <c r="M132" s="81">
        <f>SUM(M122:M131)</f>
        <v>96709.4</v>
      </c>
      <c r="N132" s="75"/>
      <c r="O132" s="72">
        <f>M132</f>
        <v>96709.4</v>
      </c>
    </row>
    <row r="133" spans="1:17" ht="18.75" customHeight="1" x14ac:dyDescent="0.25">
      <c r="A133" s="86"/>
      <c r="B133" s="86"/>
      <c r="C133" s="86"/>
      <c r="D133" s="86"/>
      <c r="E133" s="86"/>
      <c r="F133" s="86"/>
      <c r="G133" s="86"/>
      <c r="H133" s="86"/>
      <c r="I133" s="86"/>
      <c r="J133" s="86"/>
      <c r="K133" s="86"/>
      <c r="L133" s="86"/>
      <c r="M133" s="86"/>
    </row>
    <row r="134" spans="1:17" ht="25" customHeight="1" x14ac:dyDescent="0.25">
      <c r="A134" s="873" t="s">
        <v>233</v>
      </c>
      <c r="B134" s="874"/>
      <c r="C134" s="875"/>
      <c r="D134" s="884">
        <f>O134</f>
        <v>1973722.1</v>
      </c>
      <c r="E134" s="885"/>
      <c r="F134" s="885"/>
      <c r="G134" s="885"/>
      <c r="H134" s="885"/>
      <c r="I134" s="885"/>
      <c r="J134" s="885"/>
      <c r="K134" s="885"/>
      <c r="L134" s="885"/>
      <c r="M134" s="886"/>
      <c r="O134" s="72">
        <f>SUM(O29:O132)</f>
        <v>1973722.1</v>
      </c>
      <c r="Q134" s="4"/>
    </row>
    <row r="135" spans="1:17" ht="25" customHeight="1" x14ac:dyDescent="0.25">
      <c r="A135" s="873" t="s">
        <v>234</v>
      </c>
      <c r="B135" s="874"/>
      <c r="C135" s="875"/>
      <c r="D135" s="876"/>
      <c r="E135" s="877"/>
      <c r="F135" s="877"/>
      <c r="G135" s="877"/>
      <c r="H135" s="877"/>
      <c r="I135" s="877"/>
      <c r="J135" s="877"/>
      <c r="K135" s="877"/>
      <c r="L135" s="877"/>
      <c r="M135" s="878"/>
      <c r="O135" s="72"/>
      <c r="Q135" s="4"/>
    </row>
    <row r="136" spans="1:17" x14ac:dyDescent="0.25">
      <c r="A136" s="7"/>
      <c r="B136" s="7"/>
      <c r="C136" s="8"/>
      <c r="D136" s="7"/>
      <c r="E136" s="7"/>
    </row>
    <row r="137" spans="1:17" x14ac:dyDescent="0.25">
      <c r="B137" s="10"/>
      <c r="C137" s="11"/>
      <c r="D137" s="12"/>
      <c r="E137" s="12"/>
      <c r="F137" s="13"/>
      <c r="G137" s="13"/>
      <c r="H137" s="13"/>
      <c r="I137" s="13"/>
      <c r="J137" s="13"/>
      <c r="K137" s="13"/>
      <c r="L137" s="13"/>
      <c r="M137" s="13"/>
    </row>
    <row r="138" spans="1:17" x14ac:dyDescent="0.25">
      <c r="A138" s="10"/>
      <c r="B138" s="10"/>
      <c r="C138" s="11"/>
      <c r="D138" s="12"/>
      <c r="E138" s="12"/>
      <c r="F138" s="13"/>
      <c r="G138" s="13"/>
      <c r="H138" s="13"/>
      <c r="I138" s="13"/>
      <c r="J138" s="13"/>
      <c r="K138" s="13"/>
      <c r="L138" s="13"/>
      <c r="M138" s="13"/>
    </row>
    <row r="139" spans="1:17" x14ac:dyDescent="0.25">
      <c r="A139" s="2"/>
      <c r="B139" s="2" t="s">
        <v>207</v>
      </c>
      <c r="D139" s="2"/>
      <c r="E139" s="2"/>
      <c r="F139" s="2"/>
      <c r="G139" s="2"/>
      <c r="H139" s="2"/>
      <c r="I139" s="2"/>
      <c r="J139" s="2"/>
      <c r="K139" s="2"/>
      <c r="L139" s="2"/>
      <c r="M139" s="2"/>
    </row>
    <row r="140" spans="1:17" x14ac:dyDescent="0.25">
      <c r="A140" s="2"/>
      <c r="B140" s="2"/>
      <c r="D140" s="2"/>
      <c r="E140" s="2"/>
      <c r="F140" s="2"/>
      <c r="G140" s="2"/>
      <c r="H140" s="2"/>
      <c r="I140" s="2"/>
      <c r="J140" s="2"/>
      <c r="K140" s="2"/>
      <c r="L140" s="2"/>
      <c r="M140" s="2"/>
    </row>
    <row r="141" spans="1:17" x14ac:dyDescent="0.25">
      <c r="A141" s="2"/>
      <c r="B141" s="2"/>
      <c r="D141" s="2"/>
      <c r="E141" s="2"/>
      <c r="F141" s="2"/>
      <c r="G141" s="2"/>
      <c r="H141" s="2"/>
      <c r="I141" s="2"/>
      <c r="J141" s="2"/>
      <c r="K141" s="2"/>
      <c r="L141" s="2"/>
      <c r="M141" s="2"/>
    </row>
    <row r="142" spans="1:17" x14ac:dyDescent="0.25">
      <c r="A142" s="2"/>
      <c r="B142" s="2"/>
      <c r="D142" s="2"/>
      <c r="E142" s="2"/>
      <c r="F142" s="2"/>
      <c r="G142" s="2"/>
      <c r="H142" s="2"/>
      <c r="I142" s="2"/>
      <c r="J142" s="2"/>
      <c r="K142" s="2"/>
      <c r="L142" s="2"/>
      <c r="M142" s="2"/>
    </row>
    <row r="143" spans="1:17" x14ac:dyDescent="0.25">
      <c r="A143" s="2"/>
      <c r="B143" s="11" t="s">
        <v>17</v>
      </c>
      <c r="D143" s="15"/>
      <c r="F143" s="2"/>
      <c r="G143" s="15"/>
      <c r="H143" s="2"/>
      <c r="I143" s="2"/>
      <c r="J143" s="2"/>
      <c r="K143" s="2"/>
      <c r="L143" s="2"/>
      <c r="M143" s="2"/>
    </row>
    <row r="144" spans="1:17" x14ac:dyDescent="0.25">
      <c r="A144" s="2"/>
      <c r="B144" s="16" t="s">
        <v>94</v>
      </c>
      <c r="C144" s="16"/>
      <c r="D144" s="58"/>
      <c r="F144" s="2"/>
      <c r="G144" s="58"/>
      <c r="H144" s="2"/>
      <c r="I144" s="2"/>
      <c r="J144" s="2"/>
      <c r="K144" s="2"/>
      <c r="L144" s="2"/>
      <c r="M144" s="2"/>
    </row>
    <row r="145" spans="1:13" x14ac:dyDescent="0.25">
      <c r="A145" s="2"/>
      <c r="B145" s="16"/>
      <c r="C145" s="16"/>
      <c r="D145" s="2"/>
      <c r="E145" s="2"/>
      <c r="F145" s="2"/>
      <c r="G145" s="2"/>
      <c r="H145" s="2"/>
      <c r="I145" s="2"/>
      <c r="J145" s="2"/>
      <c r="K145" s="2"/>
      <c r="L145" s="2"/>
      <c r="M145" s="2"/>
    </row>
    <row r="146" spans="1:13" x14ac:dyDescent="0.25">
      <c r="A146" s="2"/>
      <c r="B146" s="2"/>
      <c r="D146" s="2"/>
      <c r="E146" s="2"/>
      <c r="F146" s="2"/>
      <c r="G146" s="2"/>
      <c r="H146" s="2"/>
      <c r="I146" s="2"/>
      <c r="J146" s="2"/>
      <c r="K146" s="2"/>
      <c r="L146" s="2"/>
      <c r="M146" s="2"/>
    </row>
    <row r="147" spans="1:13" x14ac:dyDescent="0.25">
      <c r="A147" s="2"/>
      <c r="B147" s="2" t="s">
        <v>97</v>
      </c>
      <c r="D147" s="2" t="s">
        <v>270</v>
      </c>
      <c r="E147" s="2"/>
      <c r="F147" s="2"/>
      <c r="G147" s="2"/>
      <c r="H147" s="2"/>
      <c r="I147" s="2"/>
      <c r="J147" s="2"/>
      <c r="K147" s="2"/>
      <c r="L147" s="2"/>
      <c r="M147" s="2"/>
    </row>
    <row r="148" spans="1:13" x14ac:dyDescent="0.25">
      <c r="A148" s="2"/>
      <c r="B148" s="2"/>
      <c r="D148" s="2"/>
      <c r="E148" s="2"/>
      <c r="F148" s="2"/>
      <c r="G148" s="2"/>
      <c r="H148" s="2"/>
      <c r="I148" s="2"/>
      <c r="J148" s="2"/>
      <c r="K148" s="2"/>
      <c r="L148" s="2"/>
      <c r="M148" s="2"/>
    </row>
    <row r="149" spans="1:13" x14ac:dyDescent="0.25">
      <c r="A149" s="2"/>
      <c r="B149" s="2"/>
      <c r="D149" s="2"/>
      <c r="E149" s="2"/>
      <c r="F149" s="2"/>
      <c r="G149" s="2"/>
      <c r="H149" s="2"/>
      <c r="I149" s="2"/>
      <c r="J149" s="2"/>
      <c r="K149" s="2"/>
      <c r="L149" s="2"/>
      <c r="M149" s="2"/>
    </row>
    <row r="150" spans="1:13" x14ac:dyDescent="0.25">
      <c r="A150" s="2"/>
      <c r="B150" s="2"/>
      <c r="D150" s="2"/>
      <c r="E150" s="2"/>
      <c r="F150" s="2"/>
      <c r="G150" s="2"/>
      <c r="H150" s="2"/>
      <c r="I150" s="2"/>
      <c r="J150" s="2"/>
      <c r="K150" s="2"/>
      <c r="L150" s="2"/>
      <c r="M150" s="2"/>
    </row>
    <row r="151" spans="1:13" ht="16.5" customHeight="1" x14ac:dyDescent="0.25">
      <c r="A151" s="2"/>
      <c r="B151" s="11" t="s">
        <v>93</v>
      </c>
      <c r="D151" s="11" t="s">
        <v>268</v>
      </c>
      <c r="E151" s="2"/>
      <c r="F151" s="2"/>
      <c r="G151" s="2"/>
      <c r="H151" s="2"/>
      <c r="I151" s="2"/>
      <c r="J151" s="2"/>
      <c r="K151" s="2"/>
      <c r="L151" s="2"/>
      <c r="M151" s="2"/>
    </row>
    <row r="152" spans="1:13" x14ac:dyDescent="0.25">
      <c r="A152" s="2"/>
      <c r="B152" s="16" t="s">
        <v>14</v>
      </c>
      <c r="D152" s="16" t="s">
        <v>269</v>
      </c>
      <c r="E152" s="2"/>
      <c r="F152" s="2"/>
      <c r="G152" s="2"/>
      <c r="H152" s="2"/>
      <c r="I152" s="2"/>
      <c r="J152" s="2"/>
      <c r="K152" s="2"/>
      <c r="L152" s="2"/>
      <c r="M152" s="2"/>
    </row>
    <row r="153" spans="1:13" x14ac:dyDescent="0.25">
      <c r="A153" s="2"/>
      <c r="C153" s="3"/>
      <c r="D153" s="2"/>
      <c r="F153" s="3"/>
      <c r="G153" s="3"/>
      <c r="H153" s="3"/>
      <c r="I153" s="3"/>
      <c r="J153" s="3"/>
      <c r="K153" s="3"/>
      <c r="L153" s="3"/>
      <c r="M153" s="3"/>
    </row>
    <row r="154" spans="1:13" x14ac:dyDescent="0.25">
      <c r="A154" s="2"/>
      <c r="B154" s="2"/>
      <c r="D154" s="2"/>
      <c r="E154" s="2"/>
      <c r="F154" s="2"/>
      <c r="G154" s="2"/>
      <c r="H154" s="2"/>
      <c r="I154" s="2"/>
      <c r="J154" s="2"/>
      <c r="K154" s="2"/>
      <c r="L154" s="2"/>
      <c r="M154" s="2"/>
    </row>
    <row r="155" spans="1:13" x14ac:dyDescent="0.25">
      <c r="A155" s="2"/>
      <c r="B155" s="2" t="s">
        <v>10</v>
      </c>
      <c r="D155" s="2" t="s">
        <v>11</v>
      </c>
      <c r="F155" s="2"/>
      <c r="G155" s="2"/>
      <c r="H155" s="2"/>
      <c r="I155" s="2"/>
      <c r="J155" s="2"/>
      <c r="K155" s="2"/>
      <c r="L155" s="2"/>
      <c r="M155" s="2"/>
    </row>
    <row r="156" spans="1:13" x14ac:dyDescent="0.25">
      <c r="A156" s="2"/>
      <c r="B156" s="2"/>
      <c r="D156" s="2"/>
      <c r="F156" s="2"/>
      <c r="G156" s="2"/>
      <c r="H156" s="2"/>
      <c r="I156" s="2"/>
      <c r="J156" s="2"/>
      <c r="K156" s="2"/>
      <c r="L156" s="2"/>
      <c r="M156" s="2"/>
    </row>
    <row r="157" spans="1:13" x14ac:dyDescent="0.25">
      <c r="D157" s="2"/>
    </row>
    <row r="158" spans="1:13" x14ac:dyDescent="0.25">
      <c r="B158" s="11" t="s">
        <v>12</v>
      </c>
      <c r="C158" s="10"/>
      <c r="D158" s="10" t="s">
        <v>13</v>
      </c>
      <c r="F158" s="2"/>
      <c r="H158" s="2"/>
      <c r="I158" s="2"/>
    </row>
    <row r="159" spans="1:13" x14ac:dyDescent="0.25">
      <c r="B159" s="16" t="s">
        <v>15</v>
      </c>
      <c r="C159" s="16"/>
      <c r="D159" s="16" t="s">
        <v>16</v>
      </c>
      <c r="F159" s="2"/>
      <c r="H159" s="2"/>
      <c r="I159" s="2"/>
    </row>
    <row r="160" spans="1:13" x14ac:dyDescent="0.25">
      <c r="C160" s="3"/>
      <c r="D160" s="2"/>
      <c r="F160" s="3"/>
      <c r="G160" s="3"/>
      <c r="H160" s="3"/>
      <c r="I160" s="3"/>
    </row>
  </sheetData>
  <mergeCells count="15">
    <mergeCell ref="A135:C135"/>
    <mergeCell ref="D135:M135"/>
    <mergeCell ref="F8:G8"/>
    <mergeCell ref="H8:H9"/>
    <mergeCell ref="A8:B9"/>
    <mergeCell ref="C8:C9"/>
    <mergeCell ref="D8:D9"/>
    <mergeCell ref="E8:E9"/>
    <mergeCell ref="J8:J9"/>
    <mergeCell ref="K8:K9"/>
    <mergeCell ref="L8:L9"/>
    <mergeCell ref="M8:M9"/>
    <mergeCell ref="A134:C134"/>
    <mergeCell ref="D134:M134"/>
    <mergeCell ref="I8:I9"/>
  </mergeCells>
  <printOptions horizontalCentered="1" verticalCentered="1"/>
  <pageMargins left="0.5" right="0.5" top="0.5" bottom="0.8" header="0" footer="0.5"/>
  <pageSetup paperSize="10000" scale="42" orientation="landscape" r:id="rId1"/>
  <headerFooter>
    <oddFooter>&amp;CPage &amp;P of &amp;[3</oddFooter>
  </headerFooter>
  <rowBreaks count="2" manualBreakCount="2">
    <brk id="66" max="12" man="1"/>
    <brk id="112" max="12"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8"/>
  <dimension ref="A1:Q154"/>
  <sheetViews>
    <sheetView showGridLines="0" view="pageBreakPreview" zoomScale="55" zoomScaleNormal="85" zoomScaleSheetLayoutView="55" zoomScalePageLayoutView="60" workbookViewId="0">
      <pane ySplit="1680" activePane="bottomLeft"/>
      <selection activeCell="G1" sqref="G1"/>
      <selection pane="bottomLeft" activeCell="J34" sqref="J34"/>
    </sheetView>
  </sheetViews>
  <sheetFormatPr baseColWidth="10" defaultColWidth="9.1640625" defaultRowHeight="19" x14ac:dyDescent="0.25"/>
  <cols>
    <col min="1" max="1" width="12.5" style="3" customWidth="1"/>
    <col min="2" max="2" width="13" style="3" customWidth="1"/>
    <col min="3" max="3" width="88.5" style="2" customWidth="1"/>
    <col min="4" max="4" width="13" style="3" customWidth="1"/>
    <col min="5" max="5" width="12" style="3" customWidth="1"/>
    <col min="6" max="6" width="19.33203125" style="4" customWidth="1"/>
    <col min="7" max="7" width="18.83203125" style="4" customWidth="1"/>
    <col min="8" max="9" width="18.6640625" style="4" customWidth="1"/>
    <col min="10" max="10" width="20.5" style="4" customWidth="1"/>
    <col min="11" max="12" width="18.6640625" style="4" customWidth="1"/>
    <col min="13" max="13" width="28.5" style="4" customWidth="1"/>
    <col min="14" max="14" width="14.33203125" style="2" bestFit="1" customWidth="1"/>
    <col min="15" max="15" width="21.5" style="2" customWidth="1"/>
    <col min="16" max="16" width="9.1640625" style="2"/>
    <col min="17" max="17" width="16.5" style="2" bestFit="1" customWidth="1"/>
    <col min="18" max="18" width="14.33203125" style="2" bestFit="1" customWidth="1"/>
    <col min="19" max="31" width="9.1640625" style="2"/>
    <col min="32" max="32" width="18.5" style="2" bestFit="1" customWidth="1"/>
    <col min="33" max="16384" width="9.1640625" style="2"/>
  </cols>
  <sheetData>
    <row r="1" spans="1:15" x14ac:dyDescent="0.25">
      <c r="A1" s="46" t="s">
        <v>6</v>
      </c>
      <c r="B1" s="10" t="s">
        <v>271</v>
      </c>
      <c r="C1" s="11"/>
      <c r="D1" s="12"/>
      <c r="E1" s="12"/>
      <c r="F1" s="13"/>
      <c r="G1" s="13"/>
      <c r="H1" s="13"/>
      <c r="I1" s="13"/>
      <c r="J1" s="13"/>
      <c r="K1" s="13"/>
      <c r="L1" s="13"/>
      <c r="M1" s="13"/>
    </row>
    <row r="2" spans="1:15" x14ac:dyDescent="0.25">
      <c r="A2" s="46" t="s">
        <v>8</v>
      </c>
      <c r="B2" s="10" t="s">
        <v>9</v>
      </c>
      <c r="C2" s="11"/>
      <c r="D2" s="12"/>
      <c r="E2" s="12"/>
      <c r="F2" s="13"/>
      <c r="G2" s="13"/>
      <c r="H2" s="13" t="s">
        <v>190</v>
      </c>
      <c r="I2" s="13"/>
      <c r="J2" s="13"/>
      <c r="K2" s="13"/>
      <c r="L2" s="13"/>
      <c r="M2" s="13"/>
    </row>
    <row r="3" spans="1:15" hidden="1" x14ac:dyDescent="0.25">
      <c r="A3" s="46" t="s">
        <v>95</v>
      </c>
      <c r="B3" s="10" t="s">
        <v>96</v>
      </c>
      <c r="C3" s="11"/>
      <c r="D3" s="12"/>
      <c r="E3" s="12"/>
      <c r="F3" s="13"/>
      <c r="G3" s="13"/>
      <c r="H3" s="13"/>
      <c r="I3" s="13"/>
      <c r="J3" s="13"/>
      <c r="K3" s="13"/>
      <c r="L3" s="13"/>
      <c r="M3" s="13"/>
    </row>
    <row r="4" spans="1:15" x14ac:dyDescent="0.25">
      <c r="A4" s="46" t="s">
        <v>137</v>
      </c>
      <c r="B4" s="10" t="s">
        <v>218</v>
      </c>
      <c r="C4" s="11"/>
      <c r="D4" s="12"/>
      <c r="E4" s="12"/>
      <c r="F4" s="13"/>
      <c r="G4" s="13"/>
      <c r="H4" s="13"/>
      <c r="I4" s="13"/>
      <c r="J4" s="13"/>
      <c r="K4" s="13"/>
      <c r="L4" s="13"/>
      <c r="M4" s="13"/>
    </row>
    <row r="5" spans="1:15" x14ac:dyDescent="0.25">
      <c r="A5" s="10"/>
      <c r="B5" s="10"/>
      <c r="C5" s="14"/>
      <c r="D5" s="12"/>
      <c r="E5" s="12"/>
      <c r="F5" s="13"/>
      <c r="G5" s="13"/>
      <c r="H5" s="13"/>
      <c r="I5" s="13"/>
      <c r="J5" s="13"/>
      <c r="K5" s="13"/>
      <c r="L5" s="13"/>
      <c r="M5" s="13"/>
    </row>
    <row r="7" spans="1:15" s="5" customFormat="1" ht="18.75" customHeight="1" x14ac:dyDescent="0.15">
      <c r="A7" s="871" t="s">
        <v>138</v>
      </c>
      <c r="B7" s="871"/>
      <c r="C7" s="872" t="s">
        <v>19</v>
      </c>
      <c r="D7" s="872" t="s">
        <v>2</v>
      </c>
      <c r="E7" s="872" t="s">
        <v>0</v>
      </c>
      <c r="F7" s="887" t="s">
        <v>231</v>
      </c>
      <c r="G7" s="887"/>
      <c r="H7" s="887"/>
      <c r="I7" s="887"/>
      <c r="J7" s="883" t="s">
        <v>139</v>
      </c>
      <c r="K7" s="883" t="s">
        <v>140</v>
      </c>
      <c r="L7" s="883" t="s">
        <v>4</v>
      </c>
      <c r="M7" s="865" t="s">
        <v>232</v>
      </c>
    </row>
    <row r="8" spans="1:15" s="5" customFormat="1" ht="23.25" customHeight="1" x14ac:dyDescent="0.15">
      <c r="A8" s="871"/>
      <c r="B8" s="871"/>
      <c r="C8" s="872"/>
      <c r="D8" s="872"/>
      <c r="E8" s="872"/>
      <c r="F8" s="83" t="s">
        <v>139</v>
      </c>
      <c r="G8" s="83" t="s">
        <v>140</v>
      </c>
      <c r="H8" s="83" t="s">
        <v>4</v>
      </c>
      <c r="I8" s="83" t="s">
        <v>230</v>
      </c>
      <c r="J8" s="883"/>
      <c r="K8" s="883"/>
      <c r="L8" s="883"/>
      <c r="M8" s="865"/>
    </row>
    <row r="9" spans="1:15" s="5" customFormat="1" ht="23.25" hidden="1" customHeight="1" x14ac:dyDescent="0.15">
      <c r="A9" s="84">
        <v>1</v>
      </c>
      <c r="B9" s="68"/>
      <c r="C9" s="66" t="s">
        <v>142</v>
      </c>
      <c r="D9" s="85"/>
      <c r="E9" s="85"/>
      <c r="F9" s="83"/>
      <c r="G9" s="83"/>
      <c r="H9" s="83"/>
      <c r="I9" s="83"/>
      <c r="J9" s="83"/>
      <c r="K9" s="83"/>
      <c r="L9" s="83"/>
      <c r="M9" s="83"/>
      <c r="O9" s="72"/>
    </row>
    <row r="10" spans="1:15" ht="20" hidden="1" x14ac:dyDescent="0.25">
      <c r="A10" s="1"/>
      <c r="B10" s="68">
        <f>1+0.01</f>
        <v>1.01</v>
      </c>
      <c r="C10" s="53" t="s">
        <v>169</v>
      </c>
      <c r="D10" s="1">
        <v>1</v>
      </c>
      <c r="E10" s="1" t="s">
        <v>18</v>
      </c>
      <c r="F10" s="54">
        <v>15000</v>
      </c>
      <c r="G10" s="54" t="s">
        <v>177</v>
      </c>
      <c r="H10" s="54"/>
      <c r="I10" s="54"/>
      <c r="J10" s="54"/>
      <c r="K10" s="54"/>
      <c r="L10" s="54"/>
      <c r="M10" s="69"/>
    </row>
    <row r="11" spans="1:15" ht="20" hidden="1" x14ac:dyDescent="0.25">
      <c r="A11" s="1"/>
      <c r="B11" s="68">
        <f>B10+0.01</f>
        <v>1.02</v>
      </c>
      <c r="C11" s="53" t="s">
        <v>170</v>
      </c>
      <c r="D11" s="1">
        <v>1</v>
      </c>
      <c r="E11" s="1" t="s">
        <v>18</v>
      </c>
      <c r="F11" s="54">
        <v>4500</v>
      </c>
      <c r="G11" s="54"/>
      <c r="H11" s="54"/>
      <c r="I11" s="54"/>
      <c r="J11" s="54"/>
      <c r="K11" s="54"/>
      <c r="L11" s="54"/>
      <c r="M11" s="69"/>
    </row>
    <row r="12" spans="1:15" s="5" customFormat="1" ht="23.25" hidden="1" customHeight="1" x14ac:dyDescent="0.15">
      <c r="A12" s="68"/>
      <c r="B12" s="68">
        <f t="shared" ref="B12:B23" si="0">B11+0.01</f>
        <v>1.03</v>
      </c>
      <c r="C12" s="67" t="s">
        <v>143</v>
      </c>
      <c r="D12" s="1">
        <v>2</v>
      </c>
      <c r="E12" s="1" t="s">
        <v>18</v>
      </c>
      <c r="F12" s="70">
        <v>6500</v>
      </c>
      <c r="G12" s="70"/>
      <c r="H12" s="70"/>
      <c r="I12" s="70"/>
      <c r="J12" s="70"/>
      <c r="K12" s="70"/>
      <c r="L12" s="70"/>
      <c r="M12" s="73"/>
    </row>
    <row r="13" spans="1:15" ht="20" hidden="1" x14ac:dyDescent="0.25">
      <c r="A13" s="1"/>
      <c r="B13" s="68">
        <f t="shared" si="0"/>
        <v>1.04</v>
      </c>
      <c r="C13" s="53" t="s">
        <v>145</v>
      </c>
      <c r="D13" s="1">
        <v>4</v>
      </c>
      <c r="E13" s="1" t="s">
        <v>18</v>
      </c>
      <c r="F13" s="54">
        <v>4000</v>
      </c>
      <c r="G13" s="54"/>
      <c r="H13" s="54"/>
      <c r="I13" s="54"/>
      <c r="J13" s="54"/>
      <c r="K13" s="54"/>
      <c r="L13" s="54"/>
      <c r="M13" s="69"/>
    </row>
    <row r="14" spans="1:15" ht="20" hidden="1" x14ac:dyDescent="0.25">
      <c r="A14" s="1"/>
      <c r="B14" s="68">
        <f t="shared" si="0"/>
        <v>1.05</v>
      </c>
      <c r="C14" s="53" t="s">
        <v>160</v>
      </c>
      <c r="D14" s="1">
        <v>1</v>
      </c>
      <c r="E14" s="1" t="s">
        <v>1</v>
      </c>
      <c r="F14" s="54"/>
      <c r="G14" s="54"/>
      <c r="H14" s="54"/>
      <c r="I14" s="54"/>
      <c r="J14" s="54"/>
      <c r="K14" s="54"/>
      <c r="L14" s="54"/>
      <c r="M14" s="69"/>
    </row>
    <row r="15" spans="1:15" s="5" customFormat="1" ht="23.25" hidden="1" customHeight="1" x14ac:dyDescent="0.15">
      <c r="A15" s="68"/>
      <c r="B15" s="68">
        <f t="shared" si="0"/>
        <v>1.06</v>
      </c>
      <c r="C15" s="67" t="s">
        <v>144</v>
      </c>
      <c r="D15" s="1">
        <v>1</v>
      </c>
      <c r="E15" s="1" t="s">
        <v>1</v>
      </c>
      <c r="F15" s="70">
        <v>35000</v>
      </c>
      <c r="G15" s="70"/>
      <c r="H15" s="70"/>
      <c r="I15" s="70"/>
      <c r="J15" s="70"/>
      <c r="K15" s="70"/>
      <c r="L15" s="70"/>
      <c r="M15" s="73"/>
    </row>
    <row r="16" spans="1:15" ht="20" hidden="1" x14ac:dyDescent="0.25">
      <c r="A16" s="1"/>
      <c r="B16" s="68">
        <f t="shared" si="0"/>
        <v>1.07</v>
      </c>
      <c r="C16" s="53" t="s">
        <v>159</v>
      </c>
      <c r="D16" s="1">
        <v>8</v>
      </c>
      <c r="E16" s="1" t="s">
        <v>18</v>
      </c>
      <c r="F16" s="54">
        <v>4000</v>
      </c>
      <c r="G16" s="54"/>
      <c r="H16" s="54"/>
      <c r="I16" s="54"/>
      <c r="J16" s="54"/>
      <c r="K16" s="54"/>
      <c r="L16" s="54"/>
      <c r="M16" s="69"/>
    </row>
    <row r="17" spans="1:15" ht="20" hidden="1" x14ac:dyDescent="0.25">
      <c r="A17" s="1"/>
      <c r="B17" s="68">
        <f t="shared" si="0"/>
        <v>1.08</v>
      </c>
      <c r="C17" s="53" t="s">
        <v>158</v>
      </c>
      <c r="D17" s="1">
        <v>2</v>
      </c>
      <c r="E17" s="1" t="s">
        <v>18</v>
      </c>
      <c r="F17" s="54"/>
      <c r="G17" s="54"/>
      <c r="H17" s="54"/>
      <c r="I17" s="54"/>
      <c r="J17" s="54"/>
      <c r="K17" s="54"/>
      <c r="L17" s="54"/>
      <c r="M17" s="69"/>
    </row>
    <row r="18" spans="1:15" ht="20" hidden="1" x14ac:dyDescent="0.25">
      <c r="A18" s="1"/>
      <c r="B18" s="68">
        <f t="shared" si="0"/>
        <v>1.0900000000000001</v>
      </c>
      <c r="C18" s="53" t="s">
        <v>157</v>
      </c>
      <c r="D18" s="1">
        <v>1</v>
      </c>
      <c r="E18" s="1" t="s">
        <v>18</v>
      </c>
      <c r="F18" s="54"/>
      <c r="G18" s="54"/>
      <c r="H18" s="54"/>
      <c r="I18" s="54"/>
      <c r="J18" s="54"/>
      <c r="K18" s="54"/>
      <c r="L18" s="54"/>
      <c r="M18" s="69"/>
    </row>
    <row r="19" spans="1:15" ht="40" hidden="1" x14ac:dyDescent="0.25">
      <c r="A19" s="1"/>
      <c r="B19" s="68">
        <f t="shared" si="0"/>
        <v>1.1000000000000001</v>
      </c>
      <c r="C19" s="53" t="s">
        <v>162</v>
      </c>
      <c r="D19" s="1">
        <v>3</v>
      </c>
      <c r="E19" s="1" t="s">
        <v>18</v>
      </c>
      <c r="F19" s="54"/>
      <c r="G19" s="54"/>
      <c r="H19" s="54"/>
      <c r="I19" s="54"/>
      <c r="J19" s="54"/>
      <c r="K19" s="54"/>
      <c r="L19" s="54"/>
      <c r="M19" s="69"/>
    </row>
    <row r="20" spans="1:15" ht="20" hidden="1" x14ac:dyDescent="0.25">
      <c r="A20" s="1"/>
      <c r="B20" s="68">
        <f t="shared" si="0"/>
        <v>1.1100000000000001</v>
      </c>
      <c r="C20" s="53" t="s">
        <v>161</v>
      </c>
      <c r="D20" s="1">
        <v>1</v>
      </c>
      <c r="E20" s="1" t="s">
        <v>18</v>
      </c>
      <c r="F20" s="54"/>
      <c r="G20" s="54"/>
      <c r="H20" s="54"/>
      <c r="I20" s="54"/>
      <c r="J20" s="54"/>
      <c r="K20" s="54"/>
      <c r="L20" s="54"/>
      <c r="M20" s="69"/>
    </row>
    <row r="21" spans="1:15" ht="20" hidden="1" x14ac:dyDescent="0.25">
      <c r="A21" s="1"/>
      <c r="B21" s="68">
        <f t="shared" si="0"/>
        <v>1.1200000000000001</v>
      </c>
      <c r="C21" s="53" t="s">
        <v>163</v>
      </c>
      <c r="D21" s="1">
        <v>2</v>
      </c>
      <c r="E21" s="1" t="s">
        <v>18</v>
      </c>
      <c r="F21" s="54"/>
      <c r="G21" s="54"/>
      <c r="H21" s="54"/>
      <c r="I21" s="54"/>
      <c r="J21" s="54"/>
      <c r="K21" s="54"/>
      <c r="L21" s="54"/>
      <c r="M21" s="69"/>
    </row>
    <row r="22" spans="1:15" ht="20" hidden="1" x14ac:dyDescent="0.25">
      <c r="A22" s="1"/>
      <c r="B22" s="68">
        <f t="shared" si="0"/>
        <v>1.1300000000000001</v>
      </c>
      <c r="C22" s="53" t="s">
        <v>164</v>
      </c>
      <c r="D22" s="1">
        <v>1</v>
      </c>
      <c r="E22" s="1" t="s">
        <v>18</v>
      </c>
      <c r="F22" s="54"/>
      <c r="G22" s="54"/>
      <c r="H22" s="54"/>
      <c r="I22" s="54"/>
      <c r="J22" s="54"/>
      <c r="K22" s="54"/>
      <c r="L22" s="54"/>
      <c r="M22" s="69"/>
    </row>
    <row r="23" spans="1:15" ht="20" hidden="1" x14ac:dyDescent="0.25">
      <c r="A23" s="1"/>
      <c r="B23" s="68">
        <f t="shared" si="0"/>
        <v>1.1400000000000001</v>
      </c>
      <c r="C23" s="53" t="s">
        <v>165</v>
      </c>
      <c r="D23" s="1">
        <v>1</v>
      </c>
      <c r="E23" s="1" t="s">
        <v>18</v>
      </c>
      <c r="F23" s="54"/>
      <c r="G23" s="54"/>
      <c r="H23" s="54"/>
      <c r="I23" s="54"/>
      <c r="J23" s="54"/>
      <c r="K23" s="54"/>
      <c r="L23" s="54"/>
      <c r="M23" s="69"/>
    </row>
    <row r="24" spans="1:15" s="11" customFormat="1" ht="20" hidden="1" x14ac:dyDescent="0.25">
      <c r="A24" s="85">
        <v>2</v>
      </c>
      <c r="B24" s="74"/>
      <c r="C24" s="57" t="s">
        <v>148</v>
      </c>
      <c r="D24" s="1"/>
      <c r="E24" s="1"/>
      <c r="F24" s="54"/>
      <c r="G24" s="54"/>
      <c r="H24" s="54"/>
      <c r="I24" s="54"/>
      <c r="J24" s="54"/>
      <c r="K24" s="54"/>
      <c r="L24" s="54"/>
      <c r="M24" s="69"/>
      <c r="O24" s="15"/>
    </row>
    <row r="25" spans="1:15" s="5" customFormat="1" hidden="1" x14ac:dyDescent="0.15">
      <c r="A25" s="68"/>
      <c r="B25" s="1">
        <v>2.0099999999999998</v>
      </c>
      <c r="C25" s="67" t="s">
        <v>149</v>
      </c>
      <c r="D25" s="1">
        <v>1</v>
      </c>
      <c r="E25" s="1" t="s">
        <v>1</v>
      </c>
      <c r="F25" s="70">
        <v>30000</v>
      </c>
      <c r="G25" s="70"/>
      <c r="H25" s="70"/>
      <c r="I25" s="70"/>
      <c r="J25" s="70"/>
      <c r="K25" s="70"/>
      <c r="L25" s="70"/>
      <c r="M25" s="73"/>
    </row>
    <row r="26" spans="1:15" ht="20" hidden="1" x14ac:dyDescent="0.25">
      <c r="A26" s="1"/>
      <c r="B26" s="1">
        <v>2.02</v>
      </c>
      <c r="C26" s="53" t="s">
        <v>155</v>
      </c>
      <c r="D26" s="1">
        <v>5</v>
      </c>
      <c r="E26" s="1" t="s">
        <v>1</v>
      </c>
      <c r="F26" s="54">
        <v>60000</v>
      </c>
      <c r="G26" s="54"/>
      <c r="H26" s="54"/>
      <c r="I26" s="54"/>
      <c r="J26" s="54"/>
      <c r="K26" s="54"/>
      <c r="L26" s="54"/>
      <c r="M26" s="69"/>
    </row>
    <row r="27" spans="1:15" ht="18.75" customHeight="1" x14ac:dyDescent="0.25">
      <c r="A27" s="85">
        <v>1</v>
      </c>
      <c r="B27" s="1"/>
      <c r="C27" s="55" t="s">
        <v>146</v>
      </c>
      <c r="D27" s="1"/>
      <c r="E27" s="1"/>
      <c r="F27" s="54"/>
      <c r="G27" s="54"/>
      <c r="H27" s="54"/>
      <c r="I27" s="54"/>
      <c r="J27" s="54"/>
      <c r="K27" s="54"/>
      <c r="L27" s="54"/>
      <c r="M27" s="69"/>
      <c r="O27" s="15"/>
    </row>
    <row r="28" spans="1:15" s="11" customFormat="1" ht="18.75" customHeight="1" x14ac:dyDescent="0.25">
      <c r="A28" s="74"/>
      <c r="B28" s="1">
        <v>1.01</v>
      </c>
      <c r="C28" s="56" t="s">
        <v>156</v>
      </c>
      <c r="D28" s="1">
        <v>3</v>
      </c>
      <c r="E28" s="1" t="s">
        <v>197</v>
      </c>
      <c r="F28" s="54">
        <v>34000</v>
      </c>
      <c r="G28" s="54">
        <v>8500</v>
      </c>
      <c r="H28" s="54">
        <f>0.22*(F28+G28)</f>
        <v>9350</v>
      </c>
      <c r="I28" s="54">
        <f>SUM(F28:H28)</f>
        <v>51850</v>
      </c>
      <c r="J28" s="54">
        <f>D28*F28</f>
        <v>102000</v>
      </c>
      <c r="K28" s="54">
        <f>D28*G28</f>
        <v>25500</v>
      </c>
      <c r="L28" s="54">
        <f>D28*H28</f>
        <v>28050</v>
      </c>
      <c r="M28" s="69">
        <f>SUM(J28:L28)</f>
        <v>155550</v>
      </c>
    </row>
    <row r="29" spans="1:15" s="6" customFormat="1" ht="18.75" customHeight="1" x14ac:dyDescent="0.15">
      <c r="A29" s="1"/>
      <c r="B29" s="1">
        <f>0.01+B28</f>
        <v>1.02</v>
      </c>
      <c r="C29" s="53" t="s">
        <v>235</v>
      </c>
      <c r="D29" s="1">
        <v>1</v>
      </c>
      <c r="E29" s="1" t="s">
        <v>197</v>
      </c>
      <c r="F29" s="54">
        <v>1600</v>
      </c>
      <c r="G29" s="54">
        <v>480</v>
      </c>
      <c r="H29" s="54">
        <f>0.22*(F29+G29)</f>
        <v>457.6</v>
      </c>
      <c r="I29" s="54">
        <f>SUM(F29:H29)</f>
        <v>2537.6</v>
      </c>
      <c r="J29" s="54">
        <f>D29*F29</f>
        <v>1600</v>
      </c>
      <c r="K29" s="54">
        <f>D29*G29</f>
        <v>480</v>
      </c>
      <c r="L29" s="54">
        <f>D29*H29</f>
        <v>457.6</v>
      </c>
      <c r="M29" s="69">
        <f>SUM(J29:L29)</f>
        <v>2537.6</v>
      </c>
    </row>
    <row r="30" spans="1:15" s="6" customFormat="1" ht="18.75" customHeight="1" x14ac:dyDescent="0.15">
      <c r="A30" s="1"/>
      <c r="B30" s="1">
        <f>0.01+B29</f>
        <v>1.03</v>
      </c>
      <c r="C30" s="53" t="s">
        <v>237</v>
      </c>
      <c r="D30" s="1">
        <v>1</v>
      </c>
      <c r="E30" s="1" t="s">
        <v>197</v>
      </c>
      <c r="F30" s="54">
        <v>400</v>
      </c>
      <c r="G30" s="54">
        <v>120</v>
      </c>
      <c r="H30" s="54">
        <f>0.22*(F30+G30)</f>
        <v>114.4</v>
      </c>
      <c r="I30" s="54">
        <f>SUM(F30:H30)</f>
        <v>634.4</v>
      </c>
      <c r="J30" s="54">
        <f>D30*F30</f>
        <v>400</v>
      </c>
      <c r="K30" s="54">
        <f>D30*G30</f>
        <v>120</v>
      </c>
      <c r="L30" s="54">
        <f>D30*H30</f>
        <v>114.4</v>
      </c>
      <c r="M30" s="69">
        <f>SUM(J30:L30)</f>
        <v>634.4</v>
      </c>
    </row>
    <row r="31" spans="1:15" s="6" customFormat="1" ht="18.75" customHeight="1" x14ac:dyDescent="0.15">
      <c r="A31" s="1"/>
      <c r="B31" s="1">
        <f>0.01+B30</f>
        <v>1.04</v>
      </c>
      <c r="C31" s="53" t="s">
        <v>236</v>
      </c>
      <c r="D31" s="1">
        <v>1</v>
      </c>
      <c r="E31" s="1" t="s">
        <v>197</v>
      </c>
      <c r="F31" s="54">
        <v>520</v>
      </c>
      <c r="G31" s="54">
        <v>150</v>
      </c>
      <c r="H31" s="54">
        <f>0.22*(F31+G31)</f>
        <v>147.4</v>
      </c>
      <c r="I31" s="54">
        <f>SUM(F31:H31)</f>
        <v>817.4</v>
      </c>
      <c r="J31" s="54">
        <f>D31*F31</f>
        <v>520</v>
      </c>
      <c r="K31" s="54">
        <f>D31*G31</f>
        <v>150</v>
      </c>
      <c r="L31" s="54">
        <f>D31*H31</f>
        <v>147.4</v>
      </c>
      <c r="M31" s="69">
        <f>SUM(J31:L31)</f>
        <v>817.4</v>
      </c>
    </row>
    <row r="32" spans="1:15" s="6" customFormat="1" ht="18.75" customHeight="1" x14ac:dyDescent="0.15">
      <c r="A32" s="1"/>
      <c r="B32" s="1"/>
      <c r="C32" s="53"/>
      <c r="D32" s="1"/>
      <c r="E32" s="1"/>
      <c r="G32" s="80"/>
      <c r="H32" s="80"/>
      <c r="I32" s="54"/>
      <c r="J32" s="54"/>
      <c r="K32" s="54"/>
      <c r="L32" s="80" t="s">
        <v>208</v>
      </c>
      <c r="M32" s="81">
        <f>SUM(M28:M31)</f>
        <v>159539.4</v>
      </c>
      <c r="O32" s="79">
        <f>M32</f>
        <v>159539.4</v>
      </c>
    </row>
    <row r="33" spans="1:15" s="11" customFormat="1" ht="18.75" customHeight="1" x14ac:dyDescent="0.25">
      <c r="A33" s="85">
        <v>2</v>
      </c>
      <c r="B33" s="74"/>
      <c r="C33" s="57" t="s">
        <v>147</v>
      </c>
      <c r="D33" s="1"/>
      <c r="E33" s="1"/>
      <c r="F33" s="54"/>
      <c r="G33" s="54"/>
      <c r="H33" s="54"/>
      <c r="I33" s="54"/>
      <c r="J33" s="54"/>
      <c r="K33" s="54"/>
      <c r="L33" s="54"/>
      <c r="M33" s="69"/>
      <c r="O33" s="15"/>
    </row>
    <row r="34" spans="1:15" ht="18.75" customHeight="1" x14ac:dyDescent="0.25">
      <c r="A34" s="1"/>
      <c r="B34" s="68">
        <v>2.0099999999999998</v>
      </c>
      <c r="C34" s="53" t="s">
        <v>266</v>
      </c>
      <c r="D34" s="1">
        <v>2</v>
      </c>
      <c r="E34" s="1" t="s">
        <v>1</v>
      </c>
      <c r="F34" s="89">
        <v>11000</v>
      </c>
      <c r="G34" s="89">
        <v>2200</v>
      </c>
      <c r="H34" s="54">
        <f>0.22*(F34+G34)</f>
        <v>2904</v>
      </c>
      <c r="I34" s="54">
        <f t="shared" ref="I34:I118" si="1">SUM(F34:H34)</f>
        <v>16104</v>
      </c>
      <c r="J34" s="54">
        <f t="shared" ref="J34:J118" si="2">D34*F34</f>
        <v>22000</v>
      </c>
      <c r="K34" s="54">
        <f t="shared" ref="K34:K118" si="3">D34*G34</f>
        <v>4400</v>
      </c>
      <c r="L34" s="54">
        <f t="shared" ref="L34:L118" si="4">D34*H34</f>
        <v>5808</v>
      </c>
      <c r="M34" s="69">
        <f>SUM(J34:L34)</f>
        <v>32208</v>
      </c>
    </row>
    <row r="35" spans="1:15" ht="18.75" customHeight="1" x14ac:dyDescent="0.25">
      <c r="A35" s="1"/>
      <c r="B35" s="68">
        <f>B34+0.01</f>
        <v>2.0199999999999996</v>
      </c>
      <c r="C35" s="53" t="s">
        <v>201</v>
      </c>
      <c r="D35" s="1">
        <v>2</v>
      </c>
      <c r="E35" s="1" t="s">
        <v>1</v>
      </c>
      <c r="F35" s="89">
        <v>5600</v>
      </c>
      <c r="G35" s="89">
        <v>1100</v>
      </c>
      <c r="H35" s="54">
        <f>0.22*(F35+G35)</f>
        <v>1474</v>
      </c>
      <c r="I35" s="54">
        <f t="shared" si="1"/>
        <v>8174</v>
      </c>
      <c r="J35" s="54">
        <f t="shared" si="2"/>
        <v>11200</v>
      </c>
      <c r="K35" s="54">
        <f t="shared" si="3"/>
        <v>2200</v>
      </c>
      <c r="L35" s="54">
        <f t="shared" si="4"/>
        <v>2948</v>
      </c>
      <c r="M35" s="69">
        <f>SUM(J35:L35)</f>
        <v>16348</v>
      </c>
    </row>
    <row r="36" spans="1:15" ht="18.75" customHeight="1" x14ac:dyDescent="0.25">
      <c r="A36" s="1"/>
      <c r="B36" s="68">
        <f>B35+0.01</f>
        <v>2.0299999999999994</v>
      </c>
      <c r="C36" s="53" t="s">
        <v>202</v>
      </c>
      <c r="D36" s="1">
        <v>1</v>
      </c>
      <c r="E36" s="1" t="s">
        <v>1</v>
      </c>
      <c r="F36" s="89">
        <v>8000</v>
      </c>
      <c r="G36" s="89">
        <v>1600</v>
      </c>
      <c r="H36" s="54">
        <f>0.22*(F36+G36)</f>
        <v>2112</v>
      </c>
      <c r="I36" s="54">
        <f t="shared" si="1"/>
        <v>11712</v>
      </c>
      <c r="J36" s="54">
        <f t="shared" si="2"/>
        <v>8000</v>
      </c>
      <c r="K36" s="54">
        <f t="shared" si="3"/>
        <v>1600</v>
      </c>
      <c r="L36" s="54">
        <f t="shared" si="4"/>
        <v>2112</v>
      </c>
      <c r="M36" s="69">
        <f>SUM(J36:L36)</f>
        <v>11712</v>
      </c>
    </row>
    <row r="37" spans="1:15" ht="18.75" customHeight="1" x14ac:dyDescent="0.25">
      <c r="A37" s="1"/>
      <c r="B37" s="68">
        <f>B36+0.01</f>
        <v>2.0399999999999991</v>
      </c>
      <c r="C37" s="53" t="s">
        <v>267</v>
      </c>
      <c r="D37" s="1">
        <v>1</v>
      </c>
      <c r="E37" s="1" t="s">
        <v>1</v>
      </c>
      <c r="F37" s="89">
        <v>18000</v>
      </c>
      <c r="G37" s="89">
        <v>3600</v>
      </c>
      <c r="H37" s="54">
        <f>0.22*(F37+G37)</f>
        <v>4752</v>
      </c>
      <c r="I37" s="54">
        <f t="shared" si="1"/>
        <v>26352</v>
      </c>
      <c r="J37" s="54">
        <f t="shared" si="2"/>
        <v>18000</v>
      </c>
      <c r="K37" s="54">
        <f t="shared" si="3"/>
        <v>3600</v>
      </c>
      <c r="L37" s="54">
        <f t="shared" si="4"/>
        <v>4752</v>
      </c>
      <c r="M37" s="69">
        <f>SUM(J37:L37)</f>
        <v>26352</v>
      </c>
    </row>
    <row r="38" spans="1:15" ht="18.75" customHeight="1" x14ac:dyDescent="0.25">
      <c r="A38" s="1"/>
      <c r="B38" s="68">
        <f>B37+0.01</f>
        <v>2.0499999999999989</v>
      </c>
      <c r="C38" s="53" t="s">
        <v>272</v>
      </c>
      <c r="D38" s="1">
        <v>2</v>
      </c>
      <c r="E38" s="1" t="s">
        <v>1</v>
      </c>
      <c r="F38" s="54">
        <v>1500</v>
      </c>
      <c r="G38" s="54">
        <v>500</v>
      </c>
      <c r="H38" s="54">
        <f>0.22*(F38+G38)</f>
        <v>440</v>
      </c>
      <c r="I38" s="54">
        <f t="shared" si="1"/>
        <v>2440</v>
      </c>
      <c r="J38" s="54">
        <f t="shared" si="2"/>
        <v>3000</v>
      </c>
      <c r="K38" s="54">
        <f t="shared" si="3"/>
        <v>1000</v>
      </c>
      <c r="L38" s="54">
        <f t="shared" si="4"/>
        <v>880</v>
      </c>
      <c r="M38" s="69">
        <f>SUM(J38:L38)</f>
        <v>4880</v>
      </c>
    </row>
    <row r="39" spans="1:15" ht="18.75" customHeight="1" x14ac:dyDescent="0.25">
      <c r="A39" s="1"/>
      <c r="B39" s="68"/>
      <c r="C39" s="53"/>
      <c r="D39" s="1"/>
      <c r="E39" s="1"/>
      <c r="G39" s="80"/>
      <c r="H39" s="80"/>
      <c r="I39" s="54"/>
      <c r="J39" s="54"/>
      <c r="K39" s="54"/>
      <c r="L39" s="80" t="s">
        <v>208</v>
      </c>
      <c r="M39" s="81">
        <f>SUM(M34:M38)</f>
        <v>91500</v>
      </c>
      <c r="O39" s="15">
        <f>M39</f>
        <v>91500</v>
      </c>
    </row>
    <row r="40" spans="1:15" s="11" customFormat="1" ht="18.75" customHeight="1" x14ac:dyDescent="0.25">
      <c r="A40" s="85">
        <v>3</v>
      </c>
      <c r="B40" s="74"/>
      <c r="C40" s="57" t="s">
        <v>150</v>
      </c>
      <c r="D40" s="1"/>
      <c r="E40" s="1"/>
      <c r="F40" s="54"/>
      <c r="G40" s="54"/>
      <c r="H40" s="54"/>
      <c r="I40" s="54"/>
      <c r="J40" s="54"/>
      <c r="K40" s="54"/>
      <c r="L40" s="54"/>
      <c r="M40" s="69"/>
      <c r="O40" s="15"/>
    </row>
    <row r="41" spans="1:15" s="11" customFormat="1" ht="18.75" customHeight="1" x14ac:dyDescent="0.25">
      <c r="A41" s="85"/>
      <c r="B41" s="74"/>
      <c r="C41" s="56" t="s">
        <v>181</v>
      </c>
      <c r="D41" s="1"/>
      <c r="E41" s="1"/>
      <c r="F41" s="54"/>
      <c r="G41" s="54"/>
      <c r="H41" s="54"/>
      <c r="I41" s="54"/>
      <c r="J41" s="54"/>
      <c r="K41" s="54"/>
      <c r="L41" s="54"/>
      <c r="M41" s="69"/>
      <c r="O41" s="15"/>
    </row>
    <row r="42" spans="1:15" s="5" customFormat="1" ht="18.75" customHeight="1" x14ac:dyDescent="0.15">
      <c r="A42" s="68"/>
      <c r="B42" s="1">
        <v>3.01</v>
      </c>
      <c r="C42" s="71" t="s">
        <v>194</v>
      </c>
      <c r="D42" s="1">
        <v>24</v>
      </c>
      <c r="E42" s="1" t="s">
        <v>197</v>
      </c>
      <c r="F42" s="70">
        <v>1350</v>
      </c>
      <c r="G42" s="70">
        <v>945</v>
      </c>
      <c r="H42" s="70">
        <f>0.22*(F42+G42)</f>
        <v>504.9</v>
      </c>
      <c r="I42" s="54">
        <f t="shared" si="1"/>
        <v>2799.9</v>
      </c>
      <c r="J42" s="54">
        <f>D42*F42</f>
        <v>32400</v>
      </c>
      <c r="K42" s="54">
        <f t="shared" si="3"/>
        <v>22680</v>
      </c>
      <c r="L42" s="54">
        <f t="shared" si="4"/>
        <v>12117.599999999999</v>
      </c>
      <c r="M42" s="69">
        <f>SUM(J42:L42)</f>
        <v>67197.600000000006</v>
      </c>
    </row>
    <row r="43" spans="1:15" s="5" customFormat="1" ht="18.75" customHeight="1" x14ac:dyDescent="0.15">
      <c r="A43" s="68"/>
      <c r="B43" s="1">
        <f>0.01+B42</f>
        <v>3.0199999999999996</v>
      </c>
      <c r="C43" s="71" t="s">
        <v>176</v>
      </c>
      <c r="D43" s="1">
        <v>56</v>
      </c>
      <c r="E43" s="1" t="s">
        <v>197</v>
      </c>
      <c r="F43" s="70">
        <v>80</v>
      </c>
      <c r="G43" s="70">
        <v>56</v>
      </c>
      <c r="H43" s="70">
        <f t="shared" ref="H43:H60" si="5">0.22*(F43+G43)</f>
        <v>29.92</v>
      </c>
      <c r="I43" s="54">
        <f t="shared" si="1"/>
        <v>165.92000000000002</v>
      </c>
      <c r="J43" s="54">
        <f t="shared" ref="J43:J50" si="6">D43*F43</f>
        <v>4480</v>
      </c>
      <c r="K43" s="54">
        <f t="shared" si="3"/>
        <v>3136</v>
      </c>
      <c r="L43" s="54">
        <f t="shared" si="4"/>
        <v>1675.52</v>
      </c>
      <c r="M43" s="69">
        <f t="shared" ref="M43:M50" si="7">SUM(J43:L43)</f>
        <v>9291.52</v>
      </c>
    </row>
    <row r="44" spans="1:15" s="5" customFormat="1" ht="18.75" customHeight="1" x14ac:dyDescent="0.15">
      <c r="A44" s="68"/>
      <c r="B44" s="1">
        <f t="shared" ref="B44:B50" si="8">B43+0.01</f>
        <v>3.0299999999999994</v>
      </c>
      <c r="C44" s="71" t="s">
        <v>273</v>
      </c>
      <c r="D44" s="1">
        <v>8</v>
      </c>
      <c r="E44" s="1" t="s">
        <v>197</v>
      </c>
      <c r="F44" s="70">
        <v>190</v>
      </c>
      <c r="G44" s="70">
        <v>133</v>
      </c>
      <c r="H44" s="70">
        <f t="shared" si="5"/>
        <v>71.06</v>
      </c>
      <c r="I44" s="54">
        <f t="shared" si="1"/>
        <v>394.06</v>
      </c>
      <c r="J44" s="54">
        <f t="shared" si="6"/>
        <v>1520</v>
      </c>
      <c r="K44" s="54">
        <f t="shared" si="3"/>
        <v>1064</v>
      </c>
      <c r="L44" s="54">
        <f t="shared" si="4"/>
        <v>568.48</v>
      </c>
      <c r="M44" s="69">
        <f t="shared" si="7"/>
        <v>3152.48</v>
      </c>
    </row>
    <row r="45" spans="1:15" ht="18.75" customHeight="1" x14ac:dyDescent="0.25">
      <c r="A45" s="1"/>
      <c r="B45" s="1">
        <f t="shared" si="8"/>
        <v>3.0399999999999991</v>
      </c>
      <c r="C45" s="76" t="s">
        <v>275</v>
      </c>
      <c r="D45" s="1">
        <v>8</v>
      </c>
      <c r="E45" s="1" t="s">
        <v>1</v>
      </c>
      <c r="F45" s="54">
        <v>320</v>
      </c>
      <c r="G45" s="54">
        <v>224</v>
      </c>
      <c r="H45" s="70">
        <f t="shared" si="5"/>
        <v>119.68</v>
      </c>
      <c r="I45" s="54">
        <f t="shared" si="1"/>
        <v>663.68000000000006</v>
      </c>
      <c r="J45" s="54">
        <f t="shared" si="6"/>
        <v>2560</v>
      </c>
      <c r="K45" s="54">
        <f t="shared" si="3"/>
        <v>1792</v>
      </c>
      <c r="L45" s="54">
        <f t="shared" si="4"/>
        <v>957.44</v>
      </c>
      <c r="M45" s="69">
        <f t="shared" si="7"/>
        <v>5309.4400000000005</v>
      </c>
    </row>
    <row r="46" spans="1:15" ht="18.75" customHeight="1" x14ac:dyDescent="0.25">
      <c r="A46" s="1"/>
      <c r="B46" s="1">
        <f t="shared" si="8"/>
        <v>3.0499999999999989</v>
      </c>
      <c r="C46" s="71" t="s">
        <v>274</v>
      </c>
      <c r="D46" s="1">
        <v>8</v>
      </c>
      <c r="E46" s="1" t="s">
        <v>197</v>
      </c>
      <c r="F46" s="54">
        <v>190</v>
      </c>
      <c r="G46" s="54">
        <v>133</v>
      </c>
      <c r="H46" s="70">
        <f t="shared" si="5"/>
        <v>71.06</v>
      </c>
      <c r="I46" s="54">
        <f t="shared" si="1"/>
        <v>394.06</v>
      </c>
      <c r="J46" s="54">
        <f t="shared" si="6"/>
        <v>1520</v>
      </c>
      <c r="K46" s="54">
        <f t="shared" si="3"/>
        <v>1064</v>
      </c>
      <c r="L46" s="54">
        <f t="shared" si="4"/>
        <v>568.48</v>
      </c>
      <c r="M46" s="69">
        <f t="shared" si="7"/>
        <v>3152.48</v>
      </c>
    </row>
    <row r="47" spans="1:15" ht="18.75" customHeight="1" x14ac:dyDescent="0.25">
      <c r="A47" s="1"/>
      <c r="B47" s="1">
        <f t="shared" si="8"/>
        <v>3.0599999999999987</v>
      </c>
      <c r="C47" s="76" t="s">
        <v>238</v>
      </c>
      <c r="D47" s="1">
        <v>8</v>
      </c>
      <c r="E47" s="1" t="s">
        <v>1</v>
      </c>
      <c r="F47" s="54">
        <v>190</v>
      </c>
      <c r="G47" s="54">
        <v>133</v>
      </c>
      <c r="H47" s="70">
        <f t="shared" si="5"/>
        <v>71.06</v>
      </c>
      <c r="I47" s="54">
        <f t="shared" si="1"/>
        <v>394.06</v>
      </c>
      <c r="J47" s="54">
        <f t="shared" si="6"/>
        <v>1520</v>
      </c>
      <c r="K47" s="54">
        <f t="shared" si="3"/>
        <v>1064</v>
      </c>
      <c r="L47" s="54">
        <f t="shared" si="4"/>
        <v>568.48</v>
      </c>
      <c r="M47" s="69">
        <f t="shared" si="7"/>
        <v>3152.48</v>
      </c>
    </row>
    <row r="48" spans="1:15" ht="18.75" customHeight="1" x14ac:dyDescent="0.25">
      <c r="A48" s="1"/>
      <c r="B48" s="1">
        <f t="shared" si="8"/>
        <v>3.0699999999999985</v>
      </c>
      <c r="C48" s="76" t="s">
        <v>239</v>
      </c>
      <c r="D48" s="1">
        <v>8</v>
      </c>
      <c r="E48" s="1" t="s">
        <v>1</v>
      </c>
      <c r="F48" s="54">
        <v>250</v>
      </c>
      <c r="G48" s="54">
        <v>175</v>
      </c>
      <c r="H48" s="70">
        <f t="shared" si="5"/>
        <v>93.5</v>
      </c>
      <c r="I48" s="54">
        <f t="shared" si="1"/>
        <v>518.5</v>
      </c>
      <c r="J48" s="54">
        <f t="shared" si="6"/>
        <v>2000</v>
      </c>
      <c r="K48" s="54">
        <f t="shared" si="3"/>
        <v>1400</v>
      </c>
      <c r="L48" s="54">
        <f t="shared" si="4"/>
        <v>748</v>
      </c>
      <c r="M48" s="69">
        <f t="shared" si="7"/>
        <v>4148</v>
      </c>
    </row>
    <row r="49" spans="1:15" ht="18.75" customHeight="1" x14ac:dyDescent="0.25">
      <c r="A49" s="1"/>
      <c r="B49" s="1">
        <f t="shared" si="8"/>
        <v>3.0799999999999983</v>
      </c>
      <c r="C49" s="76" t="s">
        <v>175</v>
      </c>
      <c r="D49" s="1">
        <v>10</v>
      </c>
      <c r="E49" s="1" t="s">
        <v>134</v>
      </c>
      <c r="F49" s="54">
        <v>140</v>
      </c>
      <c r="G49" s="54">
        <v>98</v>
      </c>
      <c r="H49" s="70">
        <f t="shared" si="5"/>
        <v>52.36</v>
      </c>
      <c r="I49" s="54">
        <f t="shared" si="1"/>
        <v>290.36</v>
      </c>
      <c r="J49" s="54">
        <f t="shared" si="6"/>
        <v>1400</v>
      </c>
      <c r="K49" s="54">
        <f t="shared" si="3"/>
        <v>980</v>
      </c>
      <c r="L49" s="54">
        <f t="shared" si="4"/>
        <v>523.6</v>
      </c>
      <c r="M49" s="69">
        <f t="shared" si="7"/>
        <v>2903.6</v>
      </c>
    </row>
    <row r="50" spans="1:15" s="5" customFormat="1" ht="18.75" customHeight="1" x14ac:dyDescent="0.15">
      <c r="A50" s="68"/>
      <c r="B50" s="1">
        <f t="shared" si="8"/>
        <v>3.0899999999999981</v>
      </c>
      <c r="C50" s="71" t="s">
        <v>166</v>
      </c>
      <c r="D50" s="1">
        <v>12</v>
      </c>
      <c r="E50" s="1" t="s">
        <v>105</v>
      </c>
      <c r="F50" s="70">
        <v>80</v>
      </c>
      <c r="G50" s="70">
        <v>56</v>
      </c>
      <c r="H50" s="70">
        <f t="shared" si="5"/>
        <v>29.92</v>
      </c>
      <c r="I50" s="54">
        <f t="shared" si="1"/>
        <v>165.92000000000002</v>
      </c>
      <c r="J50" s="54">
        <f t="shared" si="6"/>
        <v>960</v>
      </c>
      <c r="K50" s="54">
        <f t="shared" si="3"/>
        <v>672</v>
      </c>
      <c r="L50" s="54">
        <f t="shared" si="4"/>
        <v>359.04</v>
      </c>
      <c r="M50" s="69">
        <f t="shared" si="7"/>
        <v>1991.04</v>
      </c>
    </row>
    <row r="51" spans="1:15" s="5" customFormat="1" ht="18.75" customHeight="1" x14ac:dyDescent="0.15">
      <c r="A51" s="68"/>
      <c r="B51" s="1"/>
      <c r="C51" s="67" t="s">
        <v>117</v>
      </c>
      <c r="D51" s="1"/>
      <c r="E51" s="1"/>
      <c r="F51" s="70"/>
      <c r="G51" s="70"/>
      <c r="H51" s="70"/>
      <c r="I51" s="54"/>
      <c r="J51" s="54"/>
      <c r="K51" s="54"/>
      <c r="L51" s="54"/>
      <c r="M51" s="69"/>
    </row>
    <row r="52" spans="1:15" s="5" customFormat="1" ht="18.75" customHeight="1" x14ac:dyDescent="0.15">
      <c r="A52" s="68"/>
      <c r="B52" s="1">
        <f>B50+0.01</f>
        <v>3.0999999999999979</v>
      </c>
      <c r="C52" s="71" t="s">
        <v>168</v>
      </c>
      <c r="D52" s="1">
        <v>150</v>
      </c>
      <c r="E52" s="1" t="s">
        <v>197</v>
      </c>
      <c r="F52" s="70">
        <v>20</v>
      </c>
      <c r="G52" s="70">
        <v>14</v>
      </c>
      <c r="H52" s="70">
        <f t="shared" si="5"/>
        <v>7.48</v>
      </c>
      <c r="I52" s="54">
        <f t="shared" si="1"/>
        <v>41.480000000000004</v>
      </c>
      <c r="J52" s="54">
        <f t="shared" si="2"/>
        <v>3000</v>
      </c>
      <c r="K52" s="54">
        <f t="shared" si="3"/>
        <v>2100</v>
      </c>
      <c r="L52" s="54">
        <f t="shared" si="4"/>
        <v>1122</v>
      </c>
      <c r="M52" s="69">
        <f t="shared" ref="M52:M60" si="9">SUM(J52:L52)</f>
        <v>6222</v>
      </c>
    </row>
    <row r="53" spans="1:15" ht="18.75" customHeight="1" x14ac:dyDescent="0.25">
      <c r="A53" s="1"/>
      <c r="B53" s="1">
        <f>B52+0.01</f>
        <v>3.1099999999999977</v>
      </c>
      <c r="C53" s="76" t="s">
        <v>167</v>
      </c>
      <c r="D53" s="1">
        <v>150</v>
      </c>
      <c r="E53" s="1" t="s">
        <v>197</v>
      </c>
      <c r="F53" s="54">
        <v>20</v>
      </c>
      <c r="G53" s="54">
        <v>14</v>
      </c>
      <c r="H53" s="70">
        <f t="shared" si="5"/>
        <v>7.48</v>
      </c>
      <c r="I53" s="54">
        <f t="shared" si="1"/>
        <v>41.480000000000004</v>
      </c>
      <c r="J53" s="54">
        <f t="shared" si="2"/>
        <v>3000</v>
      </c>
      <c r="K53" s="54">
        <f t="shared" si="3"/>
        <v>2100</v>
      </c>
      <c r="L53" s="54">
        <f t="shared" si="4"/>
        <v>1122</v>
      </c>
      <c r="M53" s="69">
        <f t="shared" si="9"/>
        <v>6222</v>
      </c>
    </row>
    <row r="54" spans="1:15" s="5" customFormat="1" ht="18.75" customHeight="1" x14ac:dyDescent="0.15">
      <c r="A54" s="68"/>
      <c r="B54" s="1">
        <f t="shared" ref="B54:B60" si="10">B53+0.01</f>
        <v>3.1199999999999974</v>
      </c>
      <c r="C54" s="71" t="s">
        <v>171</v>
      </c>
      <c r="D54" s="1">
        <v>10</v>
      </c>
      <c r="E54" s="1" t="s">
        <v>197</v>
      </c>
      <c r="F54" s="70">
        <v>50</v>
      </c>
      <c r="G54" s="70">
        <v>35</v>
      </c>
      <c r="H54" s="70">
        <f t="shared" si="5"/>
        <v>18.7</v>
      </c>
      <c r="I54" s="54">
        <f t="shared" si="1"/>
        <v>103.7</v>
      </c>
      <c r="J54" s="54">
        <f t="shared" si="2"/>
        <v>500</v>
      </c>
      <c r="K54" s="54">
        <f t="shared" si="3"/>
        <v>350</v>
      </c>
      <c r="L54" s="54">
        <f t="shared" si="4"/>
        <v>187</v>
      </c>
      <c r="M54" s="69">
        <f t="shared" si="9"/>
        <v>1037</v>
      </c>
    </row>
    <row r="55" spans="1:15" s="5" customFormat="1" ht="18.75" customHeight="1" x14ac:dyDescent="0.15">
      <c r="A55" s="68"/>
      <c r="B55" s="1">
        <f t="shared" si="10"/>
        <v>3.1299999999999972</v>
      </c>
      <c r="C55" s="71" t="s">
        <v>182</v>
      </c>
      <c r="D55" s="1">
        <v>7</v>
      </c>
      <c r="E55" s="1" t="s">
        <v>136</v>
      </c>
      <c r="F55" s="70">
        <v>660</v>
      </c>
      <c r="G55" s="70">
        <v>460</v>
      </c>
      <c r="H55" s="70">
        <f t="shared" si="5"/>
        <v>246.4</v>
      </c>
      <c r="I55" s="54">
        <f t="shared" si="1"/>
        <v>1366.4</v>
      </c>
      <c r="J55" s="54">
        <f t="shared" si="2"/>
        <v>4620</v>
      </c>
      <c r="K55" s="54">
        <f t="shared" si="3"/>
        <v>3220</v>
      </c>
      <c r="L55" s="54">
        <f t="shared" si="4"/>
        <v>1724.8</v>
      </c>
      <c r="M55" s="69">
        <f t="shared" si="9"/>
        <v>9564.7999999999993</v>
      </c>
    </row>
    <row r="56" spans="1:15" s="5" customFormat="1" ht="18.75" customHeight="1" x14ac:dyDescent="0.15">
      <c r="A56" s="68"/>
      <c r="B56" s="1">
        <f t="shared" si="10"/>
        <v>3.139999999999997</v>
      </c>
      <c r="C56" s="71" t="s">
        <v>183</v>
      </c>
      <c r="D56" s="1">
        <v>12</v>
      </c>
      <c r="E56" s="1" t="s">
        <v>136</v>
      </c>
      <c r="F56" s="70">
        <v>650</v>
      </c>
      <c r="G56" s="70">
        <v>455</v>
      </c>
      <c r="H56" s="70">
        <f t="shared" si="5"/>
        <v>243.1</v>
      </c>
      <c r="I56" s="54">
        <f t="shared" si="1"/>
        <v>1348.1</v>
      </c>
      <c r="J56" s="54">
        <f t="shared" si="2"/>
        <v>7800</v>
      </c>
      <c r="K56" s="54">
        <f t="shared" si="3"/>
        <v>5460</v>
      </c>
      <c r="L56" s="54">
        <f t="shared" si="4"/>
        <v>2917.2</v>
      </c>
      <c r="M56" s="69">
        <f t="shared" si="9"/>
        <v>16177.2</v>
      </c>
    </row>
    <row r="57" spans="1:15" s="5" customFormat="1" ht="18.75" customHeight="1" x14ac:dyDescent="0.15">
      <c r="A57" s="68"/>
      <c r="B57" s="1">
        <f t="shared" si="10"/>
        <v>3.1499999999999968</v>
      </c>
      <c r="C57" s="71" t="s">
        <v>184</v>
      </c>
      <c r="D57" s="1">
        <v>6</v>
      </c>
      <c r="E57" s="1" t="s">
        <v>136</v>
      </c>
      <c r="F57" s="70">
        <v>420</v>
      </c>
      <c r="G57" s="70">
        <v>290</v>
      </c>
      <c r="H57" s="70">
        <f t="shared" si="5"/>
        <v>156.19999999999999</v>
      </c>
      <c r="I57" s="54">
        <f t="shared" si="1"/>
        <v>866.2</v>
      </c>
      <c r="J57" s="54">
        <f t="shared" si="2"/>
        <v>2520</v>
      </c>
      <c r="K57" s="54">
        <f t="shared" si="3"/>
        <v>1740</v>
      </c>
      <c r="L57" s="54">
        <f t="shared" si="4"/>
        <v>937.19999999999993</v>
      </c>
      <c r="M57" s="69">
        <f t="shared" si="9"/>
        <v>5197.2</v>
      </c>
    </row>
    <row r="58" spans="1:15" s="5" customFormat="1" ht="18.75" customHeight="1" x14ac:dyDescent="0.15">
      <c r="A58" s="68"/>
      <c r="B58" s="1">
        <f t="shared" si="10"/>
        <v>3.1599999999999966</v>
      </c>
      <c r="C58" s="71" t="s">
        <v>224</v>
      </c>
      <c r="D58" s="1">
        <v>6</v>
      </c>
      <c r="E58" s="1" t="s">
        <v>136</v>
      </c>
      <c r="F58" s="70">
        <v>860</v>
      </c>
      <c r="G58" s="70">
        <v>600</v>
      </c>
      <c r="H58" s="70">
        <f t="shared" si="5"/>
        <v>321.2</v>
      </c>
      <c r="I58" s="54">
        <f t="shared" si="1"/>
        <v>1781.2</v>
      </c>
      <c r="J58" s="54">
        <f t="shared" si="2"/>
        <v>5160</v>
      </c>
      <c r="K58" s="54">
        <f t="shared" si="3"/>
        <v>3600</v>
      </c>
      <c r="L58" s="54">
        <f t="shared" si="4"/>
        <v>1927.1999999999998</v>
      </c>
      <c r="M58" s="69">
        <f>SUM(J58:L58)</f>
        <v>10687.2</v>
      </c>
    </row>
    <row r="59" spans="1:15" s="5" customFormat="1" ht="18.75" customHeight="1" x14ac:dyDescent="0.15">
      <c r="A59" s="68"/>
      <c r="B59" s="1">
        <f t="shared" si="10"/>
        <v>3.1699999999999964</v>
      </c>
      <c r="C59" s="71" t="s">
        <v>186</v>
      </c>
      <c r="D59" s="1">
        <v>2</v>
      </c>
      <c r="E59" s="1" t="s">
        <v>174</v>
      </c>
      <c r="F59" s="70">
        <v>180</v>
      </c>
      <c r="G59" s="70">
        <v>120</v>
      </c>
      <c r="H59" s="70">
        <f t="shared" si="5"/>
        <v>66</v>
      </c>
      <c r="I59" s="54">
        <f t="shared" si="1"/>
        <v>366</v>
      </c>
      <c r="J59" s="54">
        <f t="shared" si="2"/>
        <v>360</v>
      </c>
      <c r="K59" s="54">
        <f t="shared" si="3"/>
        <v>240</v>
      </c>
      <c r="L59" s="54">
        <f t="shared" si="4"/>
        <v>132</v>
      </c>
      <c r="M59" s="69">
        <f t="shared" si="9"/>
        <v>732</v>
      </c>
    </row>
    <row r="60" spans="1:15" s="5" customFormat="1" ht="18.75" customHeight="1" x14ac:dyDescent="0.15">
      <c r="A60" s="68"/>
      <c r="B60" s="1">
        <f t="shared" si="10"/>
        <v>3.1799999999999962</v>
      </c>
      <c r="C60" s="71" t="s">
        <v>185</v>
      </c>
      <c r="D60" s="1">
        <v>2</v>
      </c>
      <c r="E60" s="1" t="s">
        <v>174</v>
      </c>
      <c r="F60" s="70">
        <v>620</v>
      </c>
      <c r="G60" s="70">
        <v>430</v>
      </c>
      <c r="H60" s="70">
        <f t="shared" si="5"/>
        <v>231</v>
      </c>
      <c r="I60" s="54">
        <f t="shared" si="1"/>
        <v>1281</v>
      </c>
      <c r="J60" s="54">
        <f t="shared" si="2"/>
        <v>1240</v>
      </c>
      <c r="K60" s="54">
        <f t="shared" si="3"/>
        <v>860</v>
      </c>
      <c r="L60" s="54">
        <f t="shared" si="4"/>
        <v>462</v>
      </c>
      <c r="M60" s="69">
        <f t="shared" si="9"/>
        <v>2562</v>
      </c>
    </row>
    <row r="61" spans="1:15" s="5" customFormat="1" ht="18.75" customHeight="1" x14ac:dyDescent="0.15">
      <c r="A61" s="68"/>
      <c r="B61" s="1"/>
      <c r="C61" s="71"/>
      <c r="D61" s="1"/>
      <c r="E61" s="1"/>
      <c r="G61" s="82"/>
      <c r="H61" s="82"/>
      <c r="I61" s="54"/>
      <c r="J61" s="54"/>
      <c r="K61" s="54"/>
      <c r="L61" s="82" t="s">
        <v>208</v>
      </c>
      <c r="M61" s="81">
        <f>SUM(M42:M60)</f>
        <v>158700.04000000004</v>
      </c>
      <c r="O61" s="72">
        <f>M61</f>
        <v>158700.04000000004</v>
      </c>
    </row>
    <row r="62" spans="1:15" s="11" customFormat="1" ht="18.75" customHeight="1" x14ac:dyDescent="0.25">
      <c r="A62" s="85">
        <v>4</v>
      </c>
      <c r="B62" s="74"/>
      <c r="C62" s="57" t="s">
        <v>3</v>
      </c>
      <c r="D62" s="1"/>
      <c r="E62" s="1"/>
      <c r="F62" s="54"/>
      <c r="G62" s="54"/>
      <c r="H62" s="54"/>
      <c r="I62" s="54"/>
      <c r="J62" s="54"/>
      <c r="K62" s="54"/>
      <c r="L62" s="54"/>
      <c r="M62" s="69"/>
      <c r="O62" s="15"/>
    </row>
    <row r="63" spans="1:15" s="5" customFormat="1" ht="18.75" customHeight="1" x14ac:dyDescent="0.15">
      <c r="A63" s="68"/>
      <c r="B63" s="1">
        <v>4.01</v>
      </c>
      <c r="C63" s="67" t="s">
        <v>173</v>
      </c>
      <c r="D63" s="1">
        <v>71</v>
      </c>
      <c r="E63" s="1" t="s">
        <v>172</v>
      </c>
      <c r="F63" s="70">
        <v>1300</v>
      </c>
      <c r="G63" s="70">
        <v>390</v>
      </c>
      <c r="H63" s="70">
        <f>0.22*(F63+G63)</f>
        <v>371.8</v>
      </c>
      <c r="I63" s="54">
        <f t="shared" si="1"/>
        <v>2061.8000000000002</v>
      </c>
      <c r="J63" s="54">
        <f t="shared" si="2"/>
        <v>92300</v>
      </c>
      <c r="K63" s="54">
        <f t="shared" si="3"/>
        <v>27690</v>
      </c>
      <c r="L63" s="54">
        <f t="shared" si="4"/>
        <v>26397.8</v>
      </c>
      <c r="M63" s="69">
        <f>SUM(J63:L63)</f>
        <v>146387.79999999999</v>
      </c>
    </row>
    <row r="64" spans="1:15" ht="18.75" customHeight="1" x14ac:dyDescent="0.25">
      <c r="A64" s="1"/>
      <c r="B64" s="1">
        <v>4.0199999999999996</v>
      </c>
      <c r="C64" s="53" t="s">
        <v>262</v>
      </c>
      <c r="D64" s="1">
        <v>38</v>
      </c>
      <c r="E64" s="1" t="s">
        <v>197</v>
      </c>
      <c r="F64" s="54">
        <v>230</v>
      </c>
      <c r="G64" s="54">
        <v>69</v>
      </c>
      <c r="H64" s="70">
        <f>0.22*(F64+G64)</f>
        <v>65.78</v>
      </c>
      <c r="I64" s="54">
        <f t="shared" si="1"/>
        <v>364.78</v>
      </c>
      <c r="J64" s="54">
        <f t="shared" si="2"/>
        <v>8740</v>
      </c>
      <c r="K64" s="54">
        <f t="shared" si="3"/>
        <v>2622</v>
      </c>
      <c r="L64" s="54">
        <f t="shared" si="4"/>
        <v>2499.64</v>
      </c>
      <c r="M64" s="69">
        <f>SUM(J64:L64)</f>
        <v>13861.64</v>
      </c>
    </row>
    <row r="65" spans="1:15" ht="18.75" customHeight="1" x14ac:dyDescent="0.25">
      <c r="A65" s="1"/>
      <c r="B65" s="1">
        <v>4.03</v>
      </c>
      <c r="C65" s="53" t="s">
        <v>261</v>
      </c>
      <c r="D65" s="1">
        <v>3</v>
      </c>
      <c r="E65" s="1" t="s">
        <v>197</v>
      </c>
      <c r="F65" s="54">
        <v>400</v>
      </c>
      <c r="G65" s="54">
        <v>120</v>
      </c>
      <c r="H65" s="70">
        <f>0.22*(F65+G65)</f>
        <v>114.4</v>
      </c>
      <c r="I65" s="54">
        <f>SUM(F65:H65)</f>
        <v>634.4</v>
      </c>
      <c r="J65" s="54">
        <f>D65*F65</f>
        <v>1200</v>
      </c>
      <c r="K65" s="54">
        <f>D65*G65</f>
        <v>360</v>
      </c>
      <c r="L65" s="54">
        <f>D65*H65</f>
        <v>343.20000000000005</v>
      </c>
      <c r="M65" s="69">
        <f>SUM(J65:L65)</f>
        <v>1903.2</v>
      </c>
    </row>
    <row r="66" spans="1:15" ht="18.75" customHeight="1" x14ac:dyDescent="0.25">
      <c r="A66" s="1"/>
      <c r="B66" s="1"/>
      <c r="C66" s="53"/>
      <c r="D66" s="1"/>
      <c r="E66" s="1"/>
      <c r="F66" s="87"/>
      <c r="G66" s="80"/>
      <c r="H66" s="80"/>
      <c r="I66" s="54"/>
      <c r="J66" s="54"/>
      <c r="K66" s="54"/>
      <c r="L66" s="80" t="s">
        <v>208</v>
      </c>
      <c r="M66" s="81">
        <f>SUM(M63:M65)</f>
        <v>162152.64000000001</v>
      </c>
      <c r="O66" s="15">
        <f>M66</f>
        <v>162152.64000000001</v>
      </c>
    </row>
    <row r="67" spans="1:15" s="11" customFormat="1" ht="18.75" customHeight="1" x14ac:dyDescent="0.25">
      <c r="A67" s="85">
        <v>5</v>
      </c>
      <c r="B67" s="74"/>
      <c r="C67" s="57" t="s">
        <v>151</v>
      </c>
      <c r="D67" s="1"/>
      <c r="E67" s="1"/>
      <c r="F67" s="54"/>
      <c r="G67" s="54"/>
      <c r="H67" s="54"/>
      <c r="I67" s="54"/>
      <c r="J67" s="54"/>
      <c r="K67" s="54"/>
      <c r="L67" s="54"/>
      <c r="M67" s="69"/>
      <c r="O67" s="15"/>
    </row>
    <row r="68" spans="1:15" s="5" customFormat="1" ht="18.75" customHeight="1" x14ac:dyDescent="0.15">
      <c r="A68" s="68"/>
      <c r="B68" s="1">
        <v>5.01</v>
      </c>
      <c r="C68" s="77" t="s">
        <v>191</v>
      </c>
      <c r="D68" s="1">
        <v>3</v>
      </c>
      <c r="E68" s="1" t="s">
        <v>197</v>
      </c>
      <c r="F68" s="70">
        <v>1270</v>
      </c>
      <c r="G68" s="70">
        <v>380</v>
      </c>
      <c r="H68" s="70">
        <f>0.22*(F68+G68)</f>
        <v>363</v>
      </c>
      <c r="I68" s="54">
        <f t="shared" si="1"/>
        <v>2013</v>
      </c>
      <c r="J68" s="54">
        <f t="shared" si="2"/>
        <v>3810</v>
      </c>
      <c r="K68" s="54">
        <f t="shared" si="3"/>
        <v>1140</v>
      </c>
      <c r="L68" s="54">
        <f>D68*H68</f>
        <v>1089</v>
      </c>
      <c r="M68" s="69">
        <f>SUM(J68:L68)</f>
        <v>6039</v>
      </c>
    </row>
    <row r="69" spans="1:15" ht="18.75" customHeight="1" x14ac:dyDescent="0.25">
      <c r="A69" s="1"/>
      <c r="B69" s="1">
        <f>B68+0.01</f>
        <v>5.0199999999999996</v>
      </c>
      <c r="C69" s="77" t="s">
        <v>192</v>
      </c>
      <c r="D69" s="1">
        <v>6</v>
      </c>
      <c r="E69" s="1" t="s">
        <v>197</v>
      </c>
      <c r="F69" s="54">
        <v>760</v>
      </c>
      <c r="G69" s="54">
        <v>230</v>
      </c>
      <c r="H69" s="70">
        <f t="shared" ref="H69:H77" si="11">0.22*(F69+G69)</f>
        <v>217.8</v>
      </c>
      <c r="I69" s="54">
        <f t="shared" si="1"/>
        <v>1207.8</v>
      </c>
      <c r="J69" s="54">
        <f t="shared" si="2"/>
        <v>4560</v>
      </c>
      <c r="K69" s="54">
        <f t="shared" si="3"/>
        <v>1380</v>
      </c>
      <c r="L69" s="54">
        <f t="shared" ref="L69:L77" si="12">D69*H69</f>
        <v>1306.8000000000002</v>
      </c>
      <c r="M69" s="69">
        <f t="shared" ref="M69:M77" si="13">SUM(J69:L69)</f>
        <v>7246.8</v>
      </c>
    </row>
    <row r="70" spans="1:15" s="5" customFormat="1" ht="18.75" customHeight="1" x14ac:dyDescent="0.15">
      <c r="A70" s="68"/>
      <c r="B70" s="1">
        <f t="shared" ref="B70:B77" si="14">B69+0.01</f>
        <v>5.0299999999999994</v>
      </c>
      <c r="C70" s="71" t="s">
        <v>103</v>
      </c>
      <c r="D70" s="1">
        <v>4</v>
      </c>
      <c r="E70" s="1" t="s">
        <v>105</v>
      </c>
      <c r="F70" s="70">
        <v>100</v>
      </c>
      <c r="G70" s="70">
        <v>27</v>
      </c>
      <c r="H70" s="70">
        <f t="shared" si="11"/>
        <v>27.94</v>
      </c>
      <c r="I70" s="54">
        <f t="shared" si="1"/>
        <v>154.94</v>
      </c>
      <c r="J70" s="54">
        <f t="shared" si="2"/>
        <v>400</v>
      </c>
      <c r="K70" s="54">
        <f t="shared" si="3"/>
        <v>108</v>
      </c>
      <c r="L70" s="54">
        <f t="shared" si="12"/>
        <v>111.76</v>
      </c>
      <c r="M70" s="69">
        <f t="shared" si="13"/>
        <v>619.76</v>
      </c>
    </row>
    <row r="71" spans="1:15" s="5" customFormat="1" ht="18.75" customHeight="1" x14ac:dyDescent="0.15">
      <c r="A71" s="68"/>
      <c r="B71" s="1">
        <f t="shared" si="14"/>
        <v>5.0399999999999991</v>
      </c>
      <c r="C71" s="71" t="s">
        <v>240</v>
      </c>
      <c r="D71" s="1">
        <v>16</v>
      </c>
      <c r="E71" s="1" t="s">
        <v>197</v>
      </c>
      <c r="F71" s="70">
        <v>40</v>
      </c>
      <c r="G71" s="70">
        <v>12</v>
      </c>
      <c r="H71" s="70">
        <f t="shared" si="11"/>
        <v>11.44</v>
      </c>
      <c r="I71" s="54">
        <f t="shared" si="1"/>
        <v>63.44</v>
      </c>
      <c r="J71" s="54">
        <f t="shared" si="2"/>
        <v>640</v>
      </c>
      <c r="K71" s="54">
        <f t="shared" si="3"/>
        <v>192</v>
      </c>
      <c r="L71" s="54">
        <f t="shared" si="12"/>
        <v>183.04</v>
      </c>
      <c r="M71" s="69">
        <f t="shared" si="13"/>
        <v>1015.04</v>
      </c>
    </row>
    <row r="72" spans="1:15" s="5" customFormat="1" ht="18.75" customHeight="1" x14ac:dyDescent="0.15">
      <c r="A72" s="68"/>
      <c r="B72" s="1">
        <f t="shared" si="14"/>
        <v>5.0499999999999989</v>
      </c>
      <c r="C72" s="78" t="s">
        <v>196</v>
      </c>
      <c r="D72" s="1">
        <v>16</v>
      </c>
      <c r="E72" s="1" t="s">
        <v>197</v>
      </c>
      <c r="F72" s="70">
        <v>740</v>
      </c>
      <c r="G72" s="70">
        <v>220</v>
      </c>
      <c r="H72" s="70">
        <f t="shared" si="11"/>
        <v>211.2</v>
      </c>
      <c r="I72" s="54">
        <f t="shared" si="1"/>
        <v>1171.2</v>
      </c>
      <c r="J72" s="54">
        <f t="shared" si="2"/>
        <v>11840</v>
      </c>
      <c r="K72" s="54">
        <f t="shared" si="3"/>
        <v>3520</v>
      </c>
      <c r="L72" s="54">
        <f t="shared" si="12"/>
        <v>3379.2</v>
      </c>
      <c r="M72" s="69">
        <f t="shared" si="13"/>
        <v>18739.2</v>
      </c>
    </row>
    <row r="73" spans="1:15" s="5" customFormat="1" ht="18.75" customHeight="1" x14ac:dyDescent="0.15">
      <c r="A73" s="68"/>
      <c r="B73" s="1">
        <f t="shared" si="14"/>
        <v>5.0599999999999987</v>
      </c>
      <c r="C73" s="71" t="s">
        <v>198</v>
      </c>
      <c r="D73" s="1">
        <v>9</v>
      </c>
      <c r="E73" s="1" t="s">
        <v>197</v>
      </c>
      <c r="F73" s="70">
        <v>140</v>
      </c>
      <c r="G73" s="70">
        <v>40</v>
      </c>
      <c r="H73" s="70">
        <f t="shared" si="11"/>
        <v>39.6</v>
      </c>
      <c r="I73" s="54">
        <f t="shared" si="1"/>
        <v>219.6</v>
      </c>
      <c r="J73" s="54">
        <f t="shared" si="2"/>
        <v>1260</v>
      </c>
      <c r="K73" s="54">
        <f t="shared" si="3"/>
        <v>360</v>
      </c>
      <c r="L73" s="54">
        <f t="shared" si="12"/>
        <v>356.40000000000003</v>
      </c>
      <c r="M73" s="69">
        <f t="shared" si="13"/>
        <v>1976.4</v>
      </c>
    </row>
    <row r="74" spans="1:15" s="5" customFormat="1" ht="18.75" customHeight="1" x14ac:dyDescent="0.15">
      <c r="A74" s="68"/>
      <c r="B74" s="1">
        <f t="shared" si="14"/>
        <v>5.0699999999999985</v>
      </c>
      <c r="C74" s="71" t="s">
        <v>199</v>
      </c>
      <c r="D74" s="1">
        <v>26</v>
      </c>
      <c r="E74" s="1" t="s">
        <v>197</v>
      </c>
      <c r="F74" s="70">
        <v>150</v>
      </c>
      <c r="G74" s="70">
        <v>45</v>
      </c>
      <c r="H74" s="70">
        <f t="shared" si="11"/>
        <v>42.9</v>
      </c>
      <c r="I74" s="54">
        <f t="shared" si="1"/>
        <v>237.9</v>
      </c>
      <c r="J74" s="54">
        <f t="shared" si="2"/>
        <v>3900</v>
      </c>
      <c r="K74" s="54">
        <f t="shared" si="3"/>
        <v>1170</v>
      </c>
      <c r="L74" s="54">
        <f t="shared" si="12"/>
        <v>1115.3999999999999</v>
      </c>
      <c r="M74" s="69">
        <f t="shared" si="13"/>
        <v>6185.4</v>
      </c>
    </row>
    <row r="75" spans="1:15" s="5" customFormat="1" ht="18.75" customHeight="1" x14ac:dyDescent="0.15">
      <c r="A75" s="68"/>
      <c r="B75" s="1">
        <f t="shared" si="14"/>
        <v>5.0799999999999983</v>
      </c>
      <c r="C75" s="71" t="s">
        <v>204</v>
      </c>
      <c r="D75" s="1">
        <v>350</v>
      </c>
      <c r="E75" s="1" t="s">
        <v>197</v>
      </c>
      <c r="F75" s="70">
        <v>0.8</v>
      </c>
      <c r="G75" s="70">
        <v>0.25</v>
      </c>
      <c r="H75" s="70">
        <f t="shared" si="11"/>
        <v>0.23100000000000001</v>
      </c>
      <c r="I75" s="54">
        <f t="shared" si="1"/>
        <v>1.2810000000000001</v>
      </c>
      <c r="J75" s="54">
        <f t="shared" si="2"/>
        <v>280</v>
      </c>
      <c r="K75" s="54">
        <f t="shared" si="3"/>
        <v>87.5</v>
      </c>
      <c r="L75" s="54">
        <f t="shared" si="12"/>
        <v>80.850000000000009</v>
      </c>
      <c r="M75" s="69">
        <f t="shared" si="13"/>
        <v>448.35</v>
      </c>
    </row>
    <row r="76" spans="1:15" s="5" customFormat="1" ht="18.75" customHeight="1" x14ac:dyDescent="0.15">
      <c r="A76" s="68"/>
      <c r="B76" s="1">
        <f t="shared" si="14"/>
        <v>5.0899999999999981</v>
      </c>
      <c r="C76" s="71" t="s">
        <v>203</v>
      </c>
      <c r="D76" s="1">
        <v>580</v>
      </c>
      <c r="E76" s="1" t="s">
        <v>197</v>
      </c>
      <c r="F76" s="70">
        <v>1.4</v>
      </c>
      <c r="G76" s="70">
        <v>0.4</v>
      </c>
      <c r="H76" s="70">
        <f t="shared" si="11"/>
        <v>0.39599999999999996</v>
      </c>
      <c r="I76" s="54">
        <f t="shared" si="1"/>
        <v>2.1959999999999997</v>
      </c>
      <c r="J76" s="54">
        <f t="shared" si="2"/>
        <v>812</v>
      </c>
      <c r="K76" s="54">
        <f t="shared" si="3"/>
        <v>232</v>
      </c>
      <c r="L76" s="54">
        <f t="shared" si="12"/>
        <v>229.67999999999998</v>
      </c>
      <c r="M76" s="69">
        <f t="shared" si="13"/>
        <v>1273.68</v>
      </c>
    </row>
    <row r="77" spans="1:15" s="5" customFormat="1" ht="18.75" customHeight="1" x14ac:dyDescent="0.15">
      <c r="A77" s="68"/>
      <c r="B77" s="1">
        <f t="shared" si="14"/>
        <v>5.0999999999999979</v>
      </c>
      <c r="C77" s="71" t="s">
        <v>205</v>
      </c>
      <c r="D77" s="1">
        <v>1</v>
      </c>
      <c r="E77" s="1" t="s">
        <v>105</v>
      </c>
      <c r="F77" s="70">
        <v>95</v>
      </c>
      <c r="G77" s="70">
        <v>25</v>
      </c>
      <c r="H77" s="70">
        <f t="shared" si="11"/>
        <v>26.4</v>
      </c>
      <c r="I77" s="54">
        <f t="shared" si="1"/>
        <v>146.4</v>
      </c>
      <c r="J77" s="54">
        <f t="shared" si="2"/>
        <v>95</v>
      </c>
      <c r="K77" s="54">
        <f t="shared" si="3"/>
        <v>25</v>
      </c>
      <c r="L77" s="54">
        <f t="shared" si="12"/>
        <v>26.4</v>
      </c>
      <c r="M77" s="69">
        <f t="shared" si="13"/>
        <v>146.4</v>
      </c>
    </row>
    <row r="78" spans="1:15" s="5" customFormat="1" ht="18.75" customHeight="1" x14ac:dyDescent="0.15">
      <c r="A78" s="68"/>
      <c r="B78" s="1"/>
      <c r="C78" s="71"/>
      <c r="D78" s="1"/>
      <c r="E78" s="1"/>
      <c r="G78" s="82"/>
      <c r="H78" s="82"/>
      <c r="I78" s="54"/>
      <c r="J78" s="54"/>
      <c r="K78" s="54"/>
      <c r="L78" s="82" t="s">
        <v>208</v>
      </c>
      <c r="M78" s="81">
        <f>SUM(M68:M77)</f>
        <v>43690.030000000006</v>
      </c>
      <c r="N78" s="75"/>
      <c r="O78" s="72">
        <f>M78</f>
        <v>43690.030000000006</v>
      </c>
    </row>
    <row r="79" spans="1:15" s="11" customFormat="1" ht="18.75" customHeight="1" x14ac:dyDescent="0.25">
      <c r="A79" s="85">
        <v>6</v>
      </c>
      <c r="B79" s="74"/>
      <c r="C79" s="57" t="s">
        <v>242</v>
      </c>
      <c r="D79" s="1"/>
      <c r="E79" s="1"/>
      <c r="F79" s="54"/>
      <c r="G79" s="54"/>
      <c r="H79" s="54"/>
      <c r="I79" s="54"/>
      <c r="J79" s="54"/>
      <c r="K79" s="54"/>
      <c r="L79" s="54"/>
      <c r="M79" s="69"/>
      <c r="O79" s="15"/>
    </row>
    <row r="80" spans="1:15" s="5" customFormat="1" ht="18.75" customHeight="1" x14ac:dyDescent="0.15">
      <c r="A80" s="68"/>
      <c r="B80" s="1">
        <v>6.01</v>
      </c>
      <c r="C80" s="67" t="s">
        <v>257</v>
      </c>
      <c r="D80" s="1">
        <v>1</v>
      </c>
      <c r="E80" s="1" t="s">
        <v>5</v>
      </c>
      <c r="F80" s="70">
        <v>0</v>
      </c>
      <c r="G80" s="70">
        <v>1500</v>
      </c>
      <c r="H80" s="70">
        <f>0.22*(F80+G80)</f>
        <v>330</v>
      </c>
      <c r="I80" s="54">
        <f>SUM(F80:H80)</f>
        <v>1830</v>
      </c>
      <c r="J80" s="54">
        <f>D80*F80</f>
        <v>0</v>
      </c>
      <c r="K80" s="54">
        <f>D80*G80</f>
        <v>1500</v>
      </c>
      <c r="L80" s="54">
        <f>D80*H80</f>
        <v>330</v>
      </c>
      <c r="M80" s="69">
        <f>SUM(J80:L80)</f>
        <v>1830</v>
      </c>
    </row>
    <row r="81" spans="1:15" s="5" customFormat="1" ht="18.75" customHeight="1" x14ac:dyDescent="0.15">
      <c r="A81" s="68"/>
      <c r="B81" s="1">
        <v>6.02</v>
      </c>
      <c r="C81" s="67" t="s">
        <v>256</v>
      </c>
      <c r="D81" s="1">
        <v>1</v>
      </c>
      <c r="E81" s="1" t="s">
        <v>5</v>
      </c>
      <c r="F81" s="70">
        <v>4000</v>
      </c>
      <c r="G81" s="70">
        <v>1800</v>
      </c>
      <c r="H81" s="70">
        <f>0.22*(F81+G81)</f>
        <v>1276</v>
      </c>
      <c r="I81" s="54">
        <f>SUM(F81:H81)</f>
        <v>7076</v>
      </c>
      <c r="J81" s="54">
        <f>D81*F81</f>
        <v>4000</v>
      </c>
      <c r="K81" s="54">
        <f>D81*G81</f>
        <v>1800</v>
      </c>
      <c r="L81" s="54">
        <f>D81*H81</f>
        <v>1276</v>
      </c>
      <c r="M81" s="69">
        <f>SUM(J81:L81)</f>
        <v>7076</v>
      </c>
    </row>
    <row r="82" spans="1:15" s="11" customFormat="1" ht="18.75" customHeight="1" x14ac:dyDescent="0.25">
      <c r="A82" s="74"/>
      <c r="B82" s="1">
        <v>6.03</v>
      </c>
      <c r="C82" s="56" t="s">
        <v>265</v>
      </c>
      <c r="D82" s="1">
        <v>1</v>
      </c>
      <c r="E82" s="1" t="s">
        <v>5</v>
      </c>
      <c r="F82" s="54">
        <v>6000</v>
      </c>
      <c r="G82" s="54">
        <v>2400</v>
      </c>
      <c r="H82" s="70">
        <f>0.22*(F82+G82)</f>
        <v>1848</v>
      </c>
      <c r="I82" s="54">
        <f>SUM(F82:H82)</f>
        <v>10248</v>
      </c>
      <c r="J82" s="54">
        <f>D82*F82</f>
        <v>6000</v>
      </c>
      <c r="K82" s="54">
        <f>D82*G82</f>
        <v>2400</v>
      </c>
      <c r="L82" s="54">
        <f>D82*H82</f>
        <v>1848</v>
      </c>
      <c r="M82" s="69">
        <f>SUM(J82:L82)</f>
        <v>10248</v>
      </c>
    </row>
    <row r="83" spans="1:15" ht="18.75" customHeight="1" x14ac:dyDescent="0.25">
      <c r="A83" s="1"/>
      <c r="B83" s="1"/>
      <c r="C83" s="53" t="s">
        <v>190</v>
      </c>
      <c r="D83" s="1"/>
      <c r="E83" s="1"/>
      <c r="G83" s="80"/>
      <c r="H83" s="80"/>
      <c r="I83" s="54"/>
      <c r="J83" s="54"/>
      <c r="K83" s="54"/>
      <c r="L83" s="80" t="s">
        <v>208</v>
      </c>
      <c r="M83" s="81">
        <f>SUM(M80:M82)</f>
        <v>19154</v>
      </c>
      <c r="O83" s="15">
        <f>M83</f>
        <v>19154</v>
      </c>
    </row>
    <row r="84" spans="1:15" s="11" customFormat="1" ht="18.75" customHeight="1" x14ac:dyDescent="0.25">
      <c r="A84" s="85">
        <v>7</v>
      </c>
      <c r="B84" s="74"/>
      <c r="C84" s="57" t="s">
        <v>141</v>
      </c>
      <c r="D84" s="1"/>
      <c r="E84" s="1"/>
      <c r="F84" s="54"/>
      <c r="G84" s="54"/>
      <c r="H84" s="54"/>
      <c r="I84" s="54"/>
      <c r="J84" s="54"/>
      <c r="K84" s="54"/>
      <c r="L84" s="54"/>
      <c r="M84" s="69"/>
      <c r="O84" s="15"/>
    </row>
    <row r="85" spans="1:15" s="5" customFormat="1" ht="18.75" customHeight="1" x14ac:dyDescent="0.15">
      <c r="A85" s="68"/>
      <c r="B85" s="1">
        <v>7.01</v>
      </c>
      <c r="C85" s="67" t="s">
        <v>276</v>
      </c>
      <c r="D85" s="1">
        <v>2</v>
      </c>
      <c r="E85" s="1" t="s">
        <v>214</v>
      </c>
      <c r="F85" s="70">
        <v>3700</v>
      </c>
      <c r="G85" s="70">
        <v>1500</v>
      </c>
      <c r="H85" s="70">
        <f>0.22*(F85+G85)</f>
        <v>1144</v>
      </c>
      <c r="I85" s="54">
        <f>SUM(F85:H85)</f>
        <v>6344</v>
      </c>
      <c r="J85" s="54">
        <f t="shared" si="2"/>
        <v>7400</v>
      </c>
      <c r="K85" s="54">
        <f t="shared" si="3"/>
        <v>3000</v>
      </c>
      <c r="L85" s="54">
        <f t="shared" si="4"/>
        <v>2288</v>
      </c>
      <c r="M85" s="69">
        <f t="shared" ref="M85:M94" si="15">SUM(J85:L85)</f>
        <v>12688</v>
      </c>
    </row>
    <row r="86" spans="1:15" ht="18.75" customHeight="1" x14ac:dyDescent="0.25">
      <c r="A86" s="1"/>
      <c r="B86" s="1">
        <f>B85+0.01</f>
        <v>7.02</v>
      </c>
      <c r="C86" s="53" t="s">
        <v>212</v>
      </c>
      <c r="D86" s="1">
        <v>8</v>
      </c>
      <c r="E86" s="1" t="s">
        <v>197</v>
      </c>
      <c r="F86" s="54">
        <v>200</v>
      </c>
      <c r="G86" s="54">
        <v>80</v>
      </c>
      <c r="H86" s="70">
        <f t="shared" ref="H86:H94" si="16">0.22*(F86+G86)</f>
        <v>61.6</v>
      </c>
      <c r="I86" s="54">
        <f t="shared" si="1"/>
        <v>341.6</v>
      </c>
      <c r="J86" s="54">
        <f t="shared" si="2"/>
        <v>1600</v>
      </c>
      <c r="K86" s="54">
        <f t="shared" si="3"/>
        <v>640</v>
      </c>
      <c r="L86" s="54">
        <f t="shared" si="4"/>
        <v>492.8</v>
      </c>
      <c r="M86" s="69">
        <f t="shared" si="15"/>
        <v>2732.8</v>
      </c>
    </row>
    <row r="87" spans="1:15" s="5" customFormat="1" ht="18.75" customHeight="1" x14ac:dyDescent="0.15">
      <c r="A87" s="68"/>
      <c r="B87" s="1">
        <f t="shared" ref="B87:B94" si="17">B86+0.01</f>
        <v>7.0299999999999994</v>
      </c>
      <c r="C87" s="67" t="s">
        <v>279</v>
      </c>
      <c r="D87" s="1">
        <v>20</v>
      </c>
      <c r="E87" s="1" t="s">
        <v>197</v>
      </c>
      <c r="F87" s="70">
        <v>80</v>
      </c>
      <c r="G87" s="70">
        <v>32</v>
      </c>
      <c r="H87" s="70">
        <f t="shared" si="16"/>
        <v>24.64</v>
      </c>
      <c r="I87" s="54">
        <f t="shared" si="1"/>
        <v>136.63999999999999</v>
      </c>
      <c r="J87" s="54">
        <f t="shared" si="2"/>
        <v>1600</v>
      </c>
      <c r="K87" s="54">
        <f t="shared" si="3"/>
        <v>640</v>
      </c>
      <c r="L87" s="54">
        <f t="shared" si="4"/>
        <v>492.8</v>
      </c>
      <c r="M87" s="69">
        <f t="shared" si="15"/>
        <v>2732.8</v>
      </c>
    </row>
    <row r="88" spans="1:15" s="5" customFormat="1" ht="18.75" customHeight="1" x14ac:dyDescent="0.15">
      <c r="A88" s="68"/>
      <c r="B88" s="1">
        <f t="shared" si="17"/>
        <v>7.0399999999999991</v>
      </c>
      <c r="C88" s="67" t="s">
        <v>264</v>
      </c>
      <c r="D88" s="1">
        <v>10</v>
      </c>
      <c r="E88" s="1" t="s">
        <v>197</v>
      </c>
      <c r="F88" s="70">
        <v>10</v>
      </c>
      <c r="G88" s="70">
        <v>4</v>
      </c>
      <c r="H88" s="70">
        <f t="shared" si="16"/>
        <v>3.08</v>
      </c>
      <c r="I88" s="54">
        <f>SUM(F88:H88)</f>
        <v>17.079999999999998</v>
      </c>
      <c r="J88" s="54">
        <f>D88*F88</f>
        <v>100</v>
      </c>
      <c r="K88" s="54">
        <f>D88*G88</f>
        <v>40</v>
      </c>
      <c r="L88" s="54">
        <f>D88*H88</f>
        <v>30.8</v>
      </c>
      <c r="M88" s="69">
        <f t="shared" si="15"/>
        <v>170.8</v>
      </c>
    </row>
    <row r="89" spans="1:15" s="5" customFormat="1" ht="18.75" customHeight="1" x14ac:dyDescent="0.15">
      <c r="A89" s="68"/>
      <c r="B89" s="1">
        <f t="shared" si="17"/>
        <v>7.0499999999999989</v>
      </c>
      <c r="C89" s="67" t="s">
        <v>277</v>
      </c>
      <c r="D89" s="1">
        <v>3</v>
      </c>
      <c r="E89" s="1" t="s">
        <v>197</v>
      </c>
      <c r="F89" s="70">
        <v>20</v>
      </c>
      <c r="G89" s="70">
        <v>8</v>
      </c>
      <c r="H89" s="70">
        <f t="shared" si="16"/>
        <v>6.16</v>
      </c>
      <c r="I89" s="54">
        <f>SUM(F89:H89)</f>
        <v>34.159999999999997</v>
      </c>
      <c r="J89" s="54">
        <f>D89*F89</f>
        <v>60</v>
      </c>
      <c r="K89" s="54">
        <f>D89*G89</f>
        <v>24</v>
      </c>
      <c r="L89" s="54">
        <f>D89*H89</f>
        <v>18.48</v>
      </c>
      <c r="M89" s="69">
        <f t="shared" si="15"/>
        <v>102.48</v>
      </c>
    </row>
    <row r="90" spans="1:15" ht="18.75" customHeight="1" x14ac:dyDescent="0.25">
      <c r="A90" s="1"/>
      <c r="B90" s="1">
        <f t="shared" si="17"/>
        <v>7.0599999999999987</v>
      </c>
      <c r="C90" s="53" t="s">
        <v>213</v>
      </c>
      <c r="D90" s="1">
        <v>9</v>
      </c>
      <c r="E90" s="1" t="s">
        <v>197</v>
      </c>
      <c r="F90" s="54">
        <v>25</v>
      </c>
      <c r="G90" s="54">
        <v>10</v>
      </c>
      <c r="H90" s="70">
        <f t="shared" si="16"/>
        <v>7.7</v>
      </c>
      <c r="I90" s="54">
        <f t="shared" si="1"/>
        <v>42.7</v>
      </c>
      <c r="J90" s="54">
        <f t="shared" si="2"/>
        <v>225</v>
      </c>
      <c r="K90" s="54">
        <f t="shared" si="3"/>
        <v>90</v>
      </c>
      <c r="L90" s="54">
        <f t="shared" si="4"/>
        <v>69.3</v>
      </c>
      <c r="M90" s="69">
        <f t="shared" si="15"/>
        <v>384.3</v>
      </c>
    </row>
    <row r="91" spans="1:15" ht="18.75" customHeight="1" x14ac:dyDescent="0.25">
      <c r="A91" s="1"/>
      <c r="B91" s="1">
        <f t="shared" si="17"/>
        <v>7.0699999999999985</v>
      </c>
      <c r="C91" s="53" t="s">
        <v>278</v>
      </c>
      <c r="D91" s="1">
        <v>9</v>
      </c>
      <c r="E91" s="1" t="s">
        <v>197</v>
      </c>
      <c r="F91" s="54">
        <v>30</v>
      </c>
      <c r="G91" s="54">
        <v>12</v>
      </c>
      <c r="H91" s="70">
        <f t="shared" si="16"/>
        <v>9.24</v>
      </c>
      <c r="I91" s="54">
        <f t="shared" si="1"/>
        <v>51.24</v>
      </c>
      <c r="J91" s="54">
        <f>D91*F91</f>
        <v>270</v>
      </c>
      <c r="K91" s="54">
        <f>D91*G91</f>
        <v>108</v>
      </c>
      <c r="L91" s="54">
        <f>D91*H91</f>
        <v>83.16</v>
      </c>
      <c r="M91" s="69">
        <f t="shared" si="15"/>
        <v>461.15999999999997</v>
      </c>
    </row>
    <row r="92" spans="1:15" ht="18.75" customHeight="1" x14ac:dyDescent="0.25">
      <c r="A92" s="1"/>
      <c r="B92" s="1">
        <f t="shared" si="17"/>
        <v>7.0799999999999983</v>
      </c>
      <c r="C92" s="53" t="s">
        <v>211</v>
      </c>
      <c r="D92" s="1">
        <v>10</v>
      </c>
      <c r="E92" s="1" t="s">
        <v>197</v>
      </c>
      <c r="F92" s="54">
        <v>30</v>
      </c>
      <c r="G92" s="54">
        <v>12</v>
      </c>
      <c r="H92" s="70">
        <f t="shared" si="16"/>
        <v>9.24</v>
      </c>
      <c r="I92" s="54">
        <f t="shared" si="1"/>
        <v>51.24</v>
      </c>
      <c r="J92" s="54">
        <f t="shared" si="2"/>
        <v>300</v>
      </c>
      <c r="K92" s="54">
        <f t="shared" si="3"/>
        <v>120</v>
      </c>
      <c r="L92" s="54">
        <f t="shared" si="4"/>
        <v>92.4</v>
      </c>
      <c r="M92" s="69">
        <f t="shared" si="15"/>
        <v>512.4</v>
      </c>
    </row>
    <row r="93" spans="1:15" ht="18.75" customHeight="1" x14ac:dyDescent="0.25">
      <c r="A93" s="1"/>
      <c r="B93" s="1">
        <f t="shared" si="17"/>
        <v>7.0899999999999981</v>
      </c>
      <c r="C93" s="53" t="s">
        <v>263</v>
      </c>
      <c r="D93" s="1">
        <v>1</v>
      </c>
      <c r="E93" s="1" t="s">
        <v>197</v>
      </c>
      <c r="F93" s="54">
        <v>120</v>
      </c>
      <c r="G93" s="54">
        <v>50</v>
      </c>
      <c r="H93" s="70">
        <f t="shared" si="16"/>
        <v>37.4</v>
      </c>
      <c r="I93" s="54">
        <f t="shared" si="1"/>
        <v>207.4</v>
      </c>
      <c r="J93" s="54">
        <f>D93*F93</f>
        <v>120</v>
      </c>
      <c r="K93" s="54">
        <f>D93*G93</f>
        <v>50</v>
      </c>
      <c r="L93" s="54">
        <f>D93*H93</f>
        <v>37.4</v>
      </c>
      <c r="M93" s="69">
        <f t="shared" si="15"/>
        <v>207.4</v>
      </c>
    </row>
    <row r="94" spans="1:15" s="6" customFormat="1" ht="18.75" customHeight="1" x14ac:dyDescent="0.15">
      <c r="A94" s="1"/>
      <c r="B94" s="1">
        <f t="shared" si="17"/>
        <v>7.0999999999999979</v>
      </c>
      <c r="C94" s="53" t="s">
        <v>280</v>
      </c>
      <c r="D94" s="1">
        <v>1</v>
      </c>
      <c r="E94" s="1" t="s">
        <v>5</v>
      </c>
      <c r="F94" s="54">
        <v>600</v>
      </c>
      <c r="G94" s="54">
        <v>240</v>
      </c>
      <c r="H94" s="70">
        <f t="shared" si="16"/>
        <v>184.8</v>
      </c>
      <c r="I94" s="54">
        <f t="shared" si="1"/>
        <v>1024.8</v>
      </c>
      <c r="J94" s="54">
        <f>D94*F94</f>
        <v>600</v>
      </c>
      <c r="K94" s="54">
        <f>D94*G94</f>
        <v>240</v>
      </c>
      <c r="L94" s="54">
        <f>D94*H94</f>
        <v>184.8</v>
      </c>
      <c r="M94" s="69">
        <f t="shared" si="15"/>
        <v>1024.8</v>
      </c>
    </row>
    <row r="95" spans="1:15" ht="18.75" customHeight="1" x14ac:dyDescent="0.25">
      <c r="A95" s="1"/>
      <c r="B95" s="1"/>
      <c r="C95" s="53" t="s">
        <v>190</v>
      </c>
      <c r="D95" s="1"/>
      <c r="E95" s="1"/>
      <c r="G95" s="80"/>
      <c r="H95" s="80"/>
      <c r="I95" s="54"/>
      <c r="J95" s="54"/>
      <c r="K95" s="54"/>
      <c r="L95" s="80" t="s">
        <v>208</v>
      </c>
      <c r="M95" s="81">
        <f>SUM(M85:M94)</f>
        <v>21016.94</v>
      </c>
      <c r="O95" s="15">
        <f>M95</f>
        <v>21016.94</v>
      </c>
    </row>
    <row r="96" spans="1:15" s="11" customFormat="1" ht="18.75" customHeight="1" x14ac:dyDescent="0.25">
      <c r="A96" s="85">
        <v>7</v>
      </c>
      <c r="B96" s="74"/>
      <c r="C96" s="57" t="s">
        <v>241</v>
      </c>
      <c r="D96" s="1"/>
      <c r="E96" s="1"/>
      <c r="F96" s="54"/>
      <c r="G96" s="54"/>
      <c r="H96" s="54"/>
      <c r="I96" s="54"/>
      <c r="J96" s="54"/>
      <c r="K96" s="54"/>
      <c r="L96" s="54"/>
      <c r="M96" s="69"/>
      <c r="O96" s="15"/>
    </row>
    <row r="97" spans="1:15" s="11" customFormat="1" ht="18.75" customHeight="1" x14ac:dyDescent="0.25">
      <c r="A97" s="85"/>
      <c r="B97" s="74"/>
      <c r="C97" s="53" t="s">
        <v>243</v>
      </c>
      <c r="D97" s="1"/>
      <c r="E97" s="1"/>
      <c r="F97" s="54"/>
      <c r="G97" s="54"/>
      <c r="H97" s="54"/>
      <c r="I97" s="54"/>
      <c r="J97" s="54"/>
      <c r="K97" s="54"/>
      <c r="L97" s="54"/>
      <c r="M97" s="69"/>
      <c r="O97" s="15"/>
    </row>
    <row r="98" spans="1:15" s="5" customFormat="1" ht="18.75" customHeight="1" x14ac:dyDescent="0.15">
      <c r="A98" s="68"/>
      <c r="B98" s="1">
        <v>7.01</v>
      </c>
      <c r="C98" s="71" t="s">
        <v>152</v>
      </c>
      <c r="D98" s="1">
        <v>2</v>
      </c>
      <c r="E98" s="1" t="s">
        <v>1</v>
      </c>
      <c r="F98" s="70">
        <v>1200</v>
      </c>
      <c r="G98" s="70">
        <v>480</v>
      </c>
      <c r="H98" s="70">
        <f>0.22*(F98+G98)</f>
        <v>369.6</v>
      </c>
      <c r="I98" s="54">
        <f t="shared" si="1"/>
        <v>2049.6</v>
      </c>
      <c r="J98" s="54">
        <f t="shared" si="2"/>
        <v>2400</v>
      </c>
      <c r="K98" s="54">
        <f t="shared" si="3"/>
        <v>960</v>
      </c>
      <c r="L98" s="54">
        <f t="shared" si="4"/>
        <v>739.2</v>
      </c>
      <c r="M98" s="69">
        <f>SUM(J98:L98)</f>
        <v>4099.2</v>
      </c>
    </row>
    <row r="99" spans="1:15" ht="18.75" customHeight="1" x14ac:dyDescent="0.25">
      <c r="A99" s="1"/>
      <c r="B99" s="1">
        <f>B98+0.01</f>
        <v>7.02</v>
      </c>
      <c r="C99" s="76" t="s">
        <v>247</v>
      </c>
      <c r="D99" s="1">
        <v>2</v>
      </c>
      <c r="E99" s="1" t="s">
        <v>1</v>
      </c>
      <c r="F99" s="54">
        <v>400</v>
      </c>
      <c r="G99" s="54">
        <v>160</v>
      </c>
      <c r="H99" s="70">
        <f t="shared" ref="H99:H112" si="18">0.22*(F99+G99)</f>
        <v>123.2</v>
      </c>
      <c r="I99" s="54">
        <f t="shared" si="1"/>
        <v>683.2</v>
      </c>
      <c r="J99" s="54">
        <f t="shared" si="2"/>
        <v>800</v>
      </c>
      <c r="K99" s="54">
        <f t="shared" si="3"/>
        <v>320</v>
      </c>
      <c r="L99" s="54">
        <f t="shared" si="4"/>
        <v>246.4</v>
      </c>
      <c r="M99" s="69">
        <f t="shared" ref="M99:M112" si="19">SUM(J99:L99)</f>
        <v>1366.4</v>
      </c>
    </row>
    <row r="100" spans="1:15" ht="18.75" customHeight="1" x14ac:dyDescent="0.25">
      <c r="A100" s="1"/>
      <c r="B100" s="1"/>
      <c r="C100" s="53" t="s">
        <v>244</v>
      </c>
      <c r="D100" s="1"/>
      <c r="E100" s="1"/>
      <c r="F100" s="54"/>
      <c r="G100" s="54"/>
      <c r="H100" s="70"/>
      <c r="I100" s="54"/>
      <c r="J100" s="54"/>
      <c r="K100" s="54"/>
      <c r="L100" s="54"/>
      <c r="M100" s="69"/>
    </row>
    <row r="101" spans="1:15" ht="18.75" customHeight="1" x14ac:dyDescent="0.25">
      <c r="A101" s="1"/>
      <c r="B101" s="1">
        <f>B99+0.01</f>
        <v>7.0299999999999994</v>
      </c>
      <c r="C101" s="76" t="s">
        <v>250</v>
      </c>
      <c r="D101" s="1">
        <v>2</v>
      </c>
      <c r="E101" s="1" t="s">
        <v>197</v>
      </c>
      <c r="F101" s="54">
        <v>250</v>
      </c>
      <c r="G101" s="54">
        <v>100</v>
      </c>
      <c r="H101" s="70">
        <f t="shared" si="18"/>
        <v>77</v>
      </c>
      <c r="I101" s="54">
        <f t="shared" si="1"/>
        <v>427</v>
      </c>
      <c r="J101" s="54">
        <f t="shared" si="2"/>
        <v>500</v>
      </c>
      <c r="K101" s="54">
        <f t="shared" si="3"/>
        <v>200</v>
      </c>
      <c r="L101" s="54">
        <f t="shared" si="4"/>
        <v>154</v>
      </c>
      <c r="M101" s="69">
        <f t="shared" si="19"/>
        <v>854</v>
      </c>
    </row>
    <row r="102" spans="1:15" ht="18.75" customHeight="1" x14ac:dyDescent="0.25">
      <c r="A102" s="1"/>
      <c r="B102" s="1">
        <f>B101+0.01</f>
        <v>7.0399999999999991</v>
      </c>
      <c r="C102" s="76" t="s">
        <v>245</v>
      </c>
      <c r="D102" s="1">
        <v>2</v>
      </c>
      <c r="E102" s="1" t="s">
        <v>197</v>
      </c>
      <c r="F102" s="54">
        <v>50</v>
      </c>
      <c r="G102" s="54">
        <v>20</v>
      </c>
      <c r="H102" s="70">
        <f t="shared" si="18"/>
        <v>15.4</v>
      </c>
      <c r="I102" s="54">
        <f t="shared" si="1"/>
        <v>85.4</v>
      </c>
      <c r="J102" s="54">
        <f t="shared" si="2"/>
        <v>100</v>
      </c>
      <c r="K102" s="54">
        <f t="shared" si="3"/>
        <v>40</v>
      </c>
      <c r="L102" s="54">
        <f t="shared" si="4"/>
        <v>30.8</v>
      </c>
      <c r="M102" s="69">
        <f t="shared" si="19"/>
        <v>170.8</v>
      </c>
    </row>
    <row r="103" spans="1:15" ht="18.75" customHeight="1" x14ac:dyDescent="0.25">
      <c r="A103" s="1"/>
      <c r="B103" s="1">
        <f>B102+0.01</f>
        <v>7.0499999999999989</v>
      </c>
      <c r="C103" s="76" t="s">
        <v>246</v>
      </c>
      <c r="D103" s="1">
        <v>5</v>
      </c>
      <c r="E103" s="1" t="s">
        <v>197</v>
      </c>
      <c r="F103" s="54">
        <v>30</v>
      </c>
      <c r="G103" s="54">
        <v>12</v>
      </c>
      <c r="H103" s="70">
        <f t="shared" si="18"/>
        <v>9.24</v>
      </c>
      <c r="I103" s="54">
        <f t="shared" si="1"/>
        <v>51.24</v>
      </c>
      <c r="J103" s="54">
        <f t="shared" si="2"/>
        <v>150</v>
      </c>
      <c r="K103" s="54">
        <f t="shared" si="3"/>
        <v>60</v>
      </c>
      <c r="L103" s="54">
        <f t="shared" si="4"/>
        <v>46.2</v>
      </c>
      <c r="M103" s="69">
        <f t="shared" si="19"/>
        <v>256.2</v>
      </c>
    </row>
    <row r="104" spans="1:15" ht="18.75" customHeight="1" x14ac:dyDescent="0.25">
      <c r="A104" s="1"/>
      <c r="B104" s="1">
        <f>B103+0.01</f>
        <v>7.0599999999999987</v>
      </c>
      <c r="C104" s="76" t="s">
        <v>248</v>
      </c>
      <c r="D104" s="1">
        <v>3</v>
      </c>
      <c r="E104" s="1" t="s">
        <v>197</v>
      </c>
      <c r="F104" s="54">
        <v>50</v>
      </c>
      <c r="G104" s="54">
        <v>20</v>
      </c>
      <c r="H104" s="70">
        <f t="shared" si="18"/>
        <v>15.4</v>
      </c>
      <c r="I104" s="54">
        <f t="shared" si="1"/>
        <v>85.4</v>
      </c>
      <c r="J104" s="54">
        <f t="shared" si="2"/>
        <v>150</v>
      </c>
      <c r="K104" s="54">
        <f t="shared" si="3"/>
        <v>60</v>
      </c>
      <c r="L104" s="54">
        <f t="shared" si="4"/>
        <v>46.2</v>
      </c>
      <c r="M104" s="69">
        <f t="shared" si="19"/>
        <v>256.2</v>
      </c>
    </row>
    <row r="105" spans="1:15" ht="18.75" customHeight="1" x14ac:dyDescent="0.25">
      <c r="A105" s="1"/>
      <c r="B105" s="1">
        <f>B104+0.01</f>
        <v>7.0699999999999985</v>
      </c>
      <c r="C105" s="76" t="s">
        <v>249</v>
      </c>
      <c r="D105" s="1">
        <v>1</v>
      </c>
      <c r="E105" s="1" t="s">
        <v>197</v>
      </c>
      <c r="F105" s="54">
        <v>30</v>
      </c>
      <c r="G105" s="54">
        <v>12</v>
      </c>
      <c r="H105" s="70">
        <f t="shared" si="18"/>
        <v>9.24</v>
      </c>
      <c r="I105" s="54">
        <f t="shared" si="1"/>
        <v>51.24</v>
      </c>
      <c r="J105" s="54">
        <f t="shared" si="2"/>
        <v>30</v>
      </c>
      <c r="K105" s="54">
        <f t="shared" si="3"/>
        <v>12</v>
      </c>
      <c r="L105" s="54">
        <f t="shared" si="4"/>
        <v>9.24</v>
      </c>
      <c r="M105" s="69">
        <f t="shared" si="19"/>
        <v>51.24</v>
      </c>
    </row>
    <row r="106" spans="1:15" ht="18.75" customHeight="1" x14ac:dyDescent="0.25">
      <c r="A106" s="1"/>
      <c r="B106" s="1">
        <f>B105+0.01</f>
        <v>7.0799999999999983</v>
      </c>
      <c r="C106" s="76" t="s">
        <v>263</v>
      </c>
      <c r="D106" s="1">
        <v>1</v>
      </c>
      <c r="E106" s="1" t="s">
        <v>197</v>
      </c>
      <c r="F106" s="54">
        <v>120</v>
      </c>
      <c r="G106" s="54">
        <v>50</v>
      </c>
      <c r="H106" s="70">
        <f t="shared" si="18"/>
        <v>37.4</v>
      </c>
      <c r="I106" s="54">
        <f t="shared" si="1"/>
        <v>207.4</v>
      </c>
      <c r="J106" s="54">
        <f t="shared" si="2"/>
        <v>120</v>
      </c>
      <c r="K106" s="54">
        <f t="shared" si="3"/>
        <v>50</v>
      </c>
      <c r="L106" s="54">
        <f t="shared" si="4"/>
        <v>37.4</v>
      </c>
      <c r="M106" s="69">
        <f t="shared" si="19"/>
        <v>207.4</v>
      </c>
    </row>
    <row r="107" spans="1:15" ht="18.75" customHeight="1" x14ac:dyDescent="0.25">
      <c r="A107" s="1"/>
      <c r="B107" s="1"/>
      <c r="C107" s="56" t="s">
        <v>251</v>
      </c>
      <c r="D107" s="1"/>
      <c r="E107" s="1"/>
      <c r="F107" s="54"/>
      <c r="G107" s="80"/>
      <c r="H107" s="70"/>
      <c r="I107" s="54"/>
      <c r="J107" s="54"/>
      <c r="K107" s="54"/>
      <c r="L107" s="54"/>
      <c r="M107" s="69"/>
    </row>
    <row r="108" spans="1:15" ht="18.75" customHeight="1" x14ac:dyDescent="0.25">
      <c r="A108" s="1"/>
      <c r="B108" s="1">
        <f>B106+0.01</f>
        <v>7.0899999999999981</v>
      </c>
      <c r="C108" s="76" t="s">
        <v>252</v>
      </c>
      <c r="D108" s="1">
        <v>2</v>
      </c>
      <c r="E108" s="1" t="s">
        <v>197</v>
      </c>
      <c r="F108" s="90">
        <v>250</v>
      </c>
      <c r="G108" s="54">
        <v>100</v>
      </c>
      <c r="H108" s="70">
        <f t="shared" si="18"/>
        <v>77</v>
      </c>
      <c r="I108" s="54">
        <f t="shared" si="1"/>
        <v>427</v>
      </c>
      <c r="J108" s="54">
        <f t="shared" si="2"/>
        <v>500</v>
      </c>
      <c r="K108" s="54">
        <f t="shared" si="3"/>
        <v>200</v>
      </c>
      <c r="L108" s="54">
        <f t="shared" si="4"/>
        <v>154</v>
      </c>
      <c r="M108" s="69">
        <f t="shared" si="19"/>
        <v>854</v>
      </c>
      <c r="O108" s="15"/>
    </row>
    <row r="109" spans="1:15" ht="18.75" customHeight="1" x14ac:dyDescent="0.25">
      <c r="A109" s="1"/>
      <c r="B109" s="1">
        <f>B108+0.01</f>
        <v>7.0999999999999979</v>
      </c>
      <c r="C109" s="76" t="s">
        <v>281</v>
      </c>
      <c r="D109" s="1">
        <v>1</v>
      </c>
      <c r="E109" s="1" t="s">
        <v>197</v>
      </c>
      <c r="F109" s="54">
        <v>60</v>
      </c>
      <c r="G109" s="54">
        <v>25</v>
      </c>
      <c r="H109" s="70">
        <f t="shared" si="18"/>
        <v>18.7</v>
      </c>
      <c r="I109" s="54">
        <f t="shared" si="1"/>
        <v>103.7</v>
      </c>
      <c r="J109" s="54">
        <f t="shared" si="2"/>
        <v>60</v>
      </c>
      <c r="K109" s="54">
        <f t="shared" si="3"/>
        <v>25</v>
      </c>
      <c r="L109" s="54">
        <f t="shared" si="4"/>
        <v>18.7</v>
      </c>
      <c r="M109" s="69">
        <f t="shared" si="19"/>
        <v>103.7</v>
      </c>
    </row>
    <row r="110" spans="1:15" ht="18.75" customHeight="1" x14ac:dyDescent="0.25">
      <c r="A110" s="1"/>
      <c r="B110" s="1">
        <f>B109+0.01</f>
        <v>7.1099999999999977</v>
      </c>
      <c r="C110" s="76" t="s">
        <v>253</v>
      </c>
      <c r="D110" s="1">
        <v>1</v>
      </c>
      <c r="E110" s="1" t="s">
        <v>197</v>
      </c>
      <c r="F110" s="54">
        <v>12</v>
      </c>
      <c r="G110" s="54">
        <v>5</v>
      </c>
      <c r="H110" s="70">
        <f t="shared" si="18"/>
        <v>3.74</v>
      </c>
      <c r="I110" s="54">
        <f t="shared" si="1"/>
        <v>20.740000000000002</v>
      </c>
      <c r="J110" s="54">
        <f t="shared" si="2"/>
        <v>12</v>
      </c>
      <c r="K110" s="54">
        <f t="shared" si="3"/>
        <v>5</v>
      </c>
      <c r="L110" s="54">
        <f t="shared" si="4"/>
        <v>3.74</v>
      </c>
      <c r="M110" s="69">
        <f t="shared" si="19"/>
        <v>20.740000000000002</v>
      </c>
    </row>
    <row r="111" spans="1:15" ht="18.75" customHeight="1" x14ac:dyDescent="0.25">
      <c r="A111" s="1"/>
      <c r="B111" s="1">
        <f>B110+0.01</f>
        <v>7.1199999999999974</v>
      </c>
      <c r="C111" s="76" t="s">
        <v>254</v>
      </c>
      <c r="D111" s="1">
        <v>3</v>
      </c>
      <c r="E111" s="1" t="s">
        <v>197</v>
      </c>
      <c r="F111" s="54">
        <v>8</v>
      </c>
      <c r="G111" s="54">
        <v>3</v>
      </c>
      <c r="H111" s="70">
        <f t="shared" si="18"/>
        <v>2.42</v>
      </c>
      <c r="I111" s="54">
        <f t="shared" si="1"/>
        <v>13.42</v>
      </c>
      <c r="J111" s="54">
        <f t="shared" si="2"/>
        <v>24</v>
      </c>
      <c r="K111" s="54">
        <f t="shared" si="3"/>
        <v>9</v>
      </c>
      <c r="L111" s="54">
        <f t="shared" si="4"/>
        <v>7.26</v>
      </c>
      <c r="M111" s="69">
        <f t="shared" si="19"/>
        <v>40.26</v>
      </c>
    </row>
    <row r="112" spans="1:15" ht="18.75" customHeight="1" x14ac:dyDescent="0.25">
      <c r="A112" s="1"/>
      <c r="B112" s="1">
        <f>B111+0.01</f>
        <v>7.1299999999999972</v>
      </c>
      <c r="C112" s="76" t="s">
        <v>255</v>
      </c>
      <c r="D112" s="1">
        <v>2</v>
      </c>
      <c r="E112" s="1" t="s">
        <v>197</v>
      </c>
      <c r="F112" s="54">
        <v>12</v>
      </c>
      <c r="G112" s="54">
        <v>5</v>
      </c>
      <c r="H112" s="70">
        <f t="shared" si="18"/>
        <v>3.74</v>
      </c>
      <c r="I112" s="54">
        <f t="shared" si="1"/>
        <v>20.740000000000002</v>
      </c>
      <c r="J112" s="54">
        <f t="shared" si="2"/>
        <v>24</v>
      </c>
      <c r="K112" s="54">
        <f t="shared" si="3"/>
        <v>10</v>
      </c>
      <c r="L112" s="54">
        <f t="shared" si="4"/>
        <v>7.48</v>
      </c>
      <c r="M112" s="69">
        <f t="shared" si="19"/>
        <v>41.480000000000004</v>
      </c>
    </row>
    <row r="113" spans="1:17" ht="18.75" customHeight="1" x14ac:dyDescent="0.25">
      <c r="A113" s="1"/>
      <c r="B113" s="1"/>
      <c r="C113" s="76"/>
      <c r="D113" s="1"/>
      <c r="E113" s="1"/>
      <c r="F113" s="87"/>
      <c r="G113" s="80"/>
      <c r="H113" s="80"/>
      <c r="I113" s="54"/>
      <c r="J113" s="54"/>
      <c r="K113" s="54"/>
      <c r="L113" s="80" t="s">
        <v>208</v>
      </c>
      <c r="M113" s="81">
        <f>SUM(M98:M112)</f>
        <v>8321.619999999999</v>
      </c>
      <c r="O113" s="15">
        <f>M113</f>
        <v>8321.619999999999</v>
      </c>
    </row>
    <row r="114" spans="1:17" s="11" customFormat="1" ht="18.75" customHeight="1" x14ac:dyDescent="0.25">
      <c r="A114" s="85">
        <v>8</v>
      </c>
      <c r="B114" s="74"/>
      <c r="C114" s="57" t="s">
        <v>154</v>
      </c>
      <c r="D114" s="1"/>
      <c r="E114" s="1"/>
      <c r="F114" s="54"/>
      <c r="G114" s="54"/>
      <c r="H114" s="54"/>
      <c r="I114" s="54"/>
      <c r="J114" s="54"/>
      <c r="K114" s="54"/>
      <c r="L114" s="54"/>
      <c r="M114" s="69"/>
      <c r="O114" s="15"/>
    </row>
    <row r="115" spans="1:17" s="5" customFormat="1" ht="18.75" customHeight="1" x14ac:dyDescent="0.15">
      <c r="A115" s="68"/>
      <c r="B115" s="1"/>
      <c r="C115" s="67" t="s">
        <v>220</v>
      </c>
      <c r="D115" s="1"/>
      <c r="E115" s="1"/>
      <c r="F115" s="70"/>
      <c r="G115" s="70"/>
      <c r="H115" s="70"/>
      <c r="I115" s="54"/>
      <c r="J115" s="54"/>
      <c r="K115" s="54"/>
      <c r="L115" s="54"/>
      <c r="M115" s="69"/>
    </row>
    <row r="116" spans="1:17" s="5" customFormat="1" ht="18.75" customHeight="1" x14ac:dyDescent="0.15">
      <c r="A116" s="68"/>
      <c r="B116" s="1">
        <v>8.1</v>
      </c>
      <c r="C116" s="71" t="s">
        <v>178</v>
      </c>
      <c r="D116" s="1">
        <v>8</v>
      </c>
      <c r="E116" s="1" t="s">
        <v>136</v>
      </c>
      <c r="F116" s="70">
        <v>290</v>
      </c>
      <c r="G116" s="70">
        <v>290</v>
      </c>
      <c r="H116" s="70">
        <f>0.22*(F116+G116)</f>
        <v>127.6</v>
      </c>
      <c r="I116" s="54">
        <f t="shared" si="1"/>
        <v>707.6</v>
      </c>
      <c r="J116" s="54">
        <f t="shared" si="2"/>
        <v>2320</v>
      </c>
      <c r="K116" s="54">
        <f t="shared" si="3"/>
        <v>2320</v>
      </c>
      <c r="L116" s="54">
        <f t="shared" si="4"/>
        <v>1020.8</v>
      </c>
      <c r="M116" s="69">
        <f>SUM(J116:L116)</f>
        <v>5660.8</v>
      </c>
    </row>
    <row r="117" spans="1:17" s="5" customFormat="1" ht="18.75" customHeight="1" x14ac:dyDescent="0.15">
      <c r="A117" s="68"/>
      <c r="B117" s="1">
        <f>B116+0.01</f>
        <v>8.11</v>
      </c>
      <c r="C117" s="71" t="s">
        <v>227</v>
      </c>
      <c r="D117" s="1">
        <v>12</v>
      </c>
      <c r="E117" s="1" t="s">
        <v>136</v>
      </c>
      <c r="F117" s="70">
        <v>800</v>
      </c>
      <c r="G117" s="70">
        <v>800</v>
      </c>
      <c r="H117" s="70">
        <f t="shared" ref="H117:H123" si="20">0.22*(F117+G117)</f>
        <v>352</v>
      </c>
      <c r="I117" s="54">
        <f t="shared" si="1"/>
        <v>1952</v>
      </c>
      <c r="J117" s="54">
        <f t="shared" si="2"/>
        <v>9600</v>
      </c>
      <c r="K117" s="54">
        <f t="shared" si="3"/>
        <v>9600</v>
      </c>
      <c r="L117" s="54">
        <f t="shared" si="4"/>
        <v>4224</v>
      </c>
      <c r="M117" s="69">
        <f>SUM(J117:L117)</f>
        <v>23424</v>
      </c>
    </row>
    <row r="118" spans="1:17" s="5" customFormat="1" ht="18.75" customHeight="1" x14ac:dyDescent="0.15">
      <c r="A118" s="68"/>
      <c r="B118" s="1">
        <f>B117+0.01</f>
        <v>8.1199999999999992</v>
      </c>
      <c r="C118" s="71" t="s">
        <v>179</v>
      </c>
      <c r="D118" s="1">
        <v>1</v>
      </c>
      <c r="E118" s="1" t="s">
        <v>5</v>
      </c>
      <c r="F118" s="70">
        <v>3000</v>
      </c>
      <c r="G118" s="70">
        <v>3000</v>
      </c>
      <c r="H118" s="70">
        <f t="shared" si="20"/>
        <v>1320</v>
      </c>
      <c r="I118" s="54">
        <f t="shared" si="1"/>
        <v>7320</v>
      </c>
      <c r="J118" s="54">
        <f t="shared" si="2"/>
        <v>3000</v>
      </c>
      <c r="K118" s="54">
        <f t="shared" si="3"/>
        <v>3000</v>
      </c>
      <c r="L118" s="54">
        <f t="shared" si="4"/>
        <v>1320</v>
      </c>
      <c r="M118" s="69">
        <f>SUM(J118:L118)</f>
        <v>7320</v>
      </c>
    </row>
    <row r="119" spans="1:17" ht="18.75" customHeight="1" x14ac:dyDescent="0.25">
      <c r="A119" s="1"/>
      <c r="B119" s="1"/>
      <c r="C119" s="53" t="s">
        <v>221</v>
      </c>
      <c r="D119" s="1"/>
      <c r="E119" s="1"/>
      <c r="F119" s="54"/>
      <c r="G119" s="69"/>
      <c r="H119" s="70"/>
      <c r="I119" s="54"/>
      <c r="J119" s="54"/>
      <c r="K119" s="54"/>
      <c r="L119" s="54"/>
      <c r="M119" s="69"/>
      <c r="N119" s="4"/>
    </row>
    <row r="120" spans="1:17" s="5" customFormat="1" ht="18.75" customHeight="1" x14ac:dyDescent="0.15">
      <c r="A120" s="53"/>
      <c r="B120" s="1">
        <f>B118+0.01</f>
        <v>8.129999999999999</v>
      </c>
      <c r="C120" s="71" t="s">
        <v>180</v>
      </c>
      <c r="D120" s="1">
        <v>2</v>
      </c>
      <c r="E120" s="1" t="s">
        <v>136</v>
      </c>
      <c r="F120" s="70">
        <v>600</v>
      </c>
      <c r="G120" s="70">
        <v>600</v>
      </c>
      <c r="H120" s="70">
        <f t="shared" si="20"/>
        <v>264</v>
      </c>
      <c r="I120" s="54">
        <f>SUM(F120:H120)</f>
        <v>1464</v>
      </c>
      <c r="J120" s="54">
        <f>D120*F120</f>
        <v>1200</v>
      </c>
      <c r="K120" s="54">
        <f>D120*G120</f>
        <v>1200</v>
      </c>
      <c r="L120" s="54">
        <f>D120*H120</f>
        <v>528</v>
      </c>
      <c r="M120" s="69">
        <f>SUM(J120:L120)</f>
        <v>2928</v>
      </c>
    </row>
    <row r="121" spans="1:17" s="5" customFormat="1" ht="18.75" customHeight="1" x14ac:dyDescent="0.15">
      <c r="A121" s="53"/>
      <c r="B121" s="1">
        <f>B120+0.01</f>
        <v>8.1399999999999988</v>
      </c>
      <c r="C121" s="71" t="s">
        <v>178</v>
      </c>
      <c r="D121" s="1">
        <v>5</v>
      </c>
      <c r="E121" s="1" t="s">
        <v>136</v>
      </c>
      <c r="F121" s="70">
        <v>290</v>
      </c>
      <c r="G121" s="70">
        <v>290</v>
      </c>
      <c r="H121" s="70">
        <f t="shared" si="20"/>
        <v>127.6</v>
      </c>
      <c r="I121" s="54">
        <f>SUM(F121:H121)</f>
        <v>707.6</v>
      </c>
      <c r="J121" s="54">
        <f>D121*F121</f>
        <v>1450</v>
      </c>
      <c r="K121" s="54">
        <f>D121*G121</f>
        <v>1450</v>
      </c>
      <c r="L121" s="54">
        <f>D121*H121</f>
        <v>638</v>
      </c>
      <c r="M121" s="69">
        <f>SUM(J121:L121)</f>
        <v>3538</v>
      </c>
    </row>
    <row r="122" spans="1:17" s="5" customFormat="1" ht="18.75" customHeight="1" x14ac:dyDescent="0.15">
      <c r="A122" s="53"/>
      <c r="B122" s="1">
        <f>B121+0.01</f>
        <v>8.1499999999999986</v>
      </c>
      <c r="C122" s="71" t="s">
        <v>227</v>
      </c>
      <c r="D122" s="1">
        <v>3</v>
      </c>
      <c r="E122" s="1" t="s">
        <v>136</v>
      </c>
      <c r="F122" s="70">
        <v>800</v>
      </c>
      <c r="G122" s="70">
        <v>800</v>
      </c>
      <c r="H122" s="70">
        <f t="shared" si="20"/>
        <v>352</v>
      </c>
      <c r="I122" s="54">
        <f>SUM(F122:H122)</f>
        <v>1952</v>
      </c>
      <c r="J122" s="54">
        <f>D122*F122</f>
        <v>2400</v>
      </c>
      <c r="K122" s="54">
        <f>D122*G122</f>
        <v>2400</v>
      </c>
      <c r="L122" s="54">
        <f>D122*H122</f>
        <v>1056</v>
      </c>
      <c r="M122" s="69">
        <f>SUM(J122:L122)</f>
        <v>5856</v>
      </c>
    </row>
    <row r="123" spans="1:17" s="5" customFormat="1" ht="18.75" customHeight="1" x14ac:dyDescent="0.15">
      <c r="A123" s="68"/>
      <c r="B123" s="1">
        <f>B122+0.01</f>
        <v>8.1599999999999984</v>
      </c>
      <c r="C123" s="71" t="s">
        <v>179</v>
      </c>
      <c r="D123" s="1">
        <v>1</v>
      </c>
      <c r="E123" s="1" t="s">
        <v>5</v>
      </c>
      <c r="F123" s="70">
        <v>800</v>
      </c>
      <c r="G123" s="70">
        <v>800</v>
      </c>
      <c r="H123" s="70">
        <f t="shared" si="20"/>
        <v>352</v>
      </c>
      <c r="I123" s="54">
        <f>SUM(F123:H123)</f>
        <v>1952</v>
      </c>
      <c r="J123" s="54">
        <f>D123*F123</f>
        <v>800</v>
      </c>
      <c r="K123" s="54">
        <f>D123*G123</f>
        <v>800</v>
      </c>
      <c r="L123" s="54">
        <f>D123*H123</f>
        <v>352</v>
      </c>
      <c r="M123" s="69">
        <f>SUM(J123:L123)</f>
        <v>1952</v>
      </c>
      <c r="N123" s="75"/>
    </row>
    <row r="124" spans="1:17" ht="18.75" customHeight="1" x14ac:dyDescent="0.25">
      <c r="A124" s="1"/>
      <c r="B124" s="1"/>
      <c r="C124" s="53" t="s">
        <v>258</v>
      </c>
      <c r="D124" s="1"/>
      <c r="E124" s="1"/>
      <c r="F124" s="54"/>
      <c r="G124" s="69"/>
      <c r="H124" s="70"/>
      <c r="I124" s="54"/>
      <c r="J124" s="54"/>
      <c r="K124" s="54"/>
      <c r="L124" s="54"/>
      <c r="M124" s="69"/>
      <c r="N124" s="4"/>
    </row>
    <row r="125" spans="1:17" s="5" customFormat="1" ht="18.75" customHeight="1" x14ac:dyDescent="0.15">
      <c r="A125" s="53"/>
      <c r="B125" s="1">
        <f>B123+0.01</f>
        <v>8.1699999999999982</v>
      </c>
      <c r="C125" s="71" t="s">
        <v>259</v>
      </c>
      <c r="D125" s="1">
        <v>20</v>
      </c>
      <c r="E125" s="1" t="s">
        <v>260</v>
      </c>
      <c r="F125" s="70">
        <v>150</v>
      </c>
      <c r="G125" s="70">
        <v>100</v>
      </c>
      <c r="H125" s="70">
        <f>0.22*(F125+G125)</f>
        <v>55</v>
      </c>
      <c r="I125" s="54">
        <f>SUM(F125:H125)</f>
        <v>305</v>
      </c>
      <c r="J125" s="54">
        <f>D125*F125</f>
        <v>3000</v>
      </c>
      <c r="K125" s="54">
        <f>D125*G125</f>
        <v>2000</v>
      </c>
      <c r="L125" s="54">
        <f>D125*H125</f>
        <v>1100</v>
      </c>
      <c r="M125" s="69">
        <f>SUM(J125:L125)</f>
        <v>6100</v>
      </c>
    </row>
    <row r="126" spans="1:17" s="5" customFormat="1" ht="18.75" customHeight="1" x14ac:dyDescent="0.15">
      <c r="A126" s="68"/>
      <c r="B126" s="1"/>
      <c r="C126" s="71"/>
      <c r="D126" s="1"/>
      <c r="E126" s="1"/>
      <c r="F126" s="88"/>
      <c r="G126" s="82"/>
      <c r="H126" s="82"/>
      <c r="I126" s="54"/>
      <c r="J126" s="54"/>
      <c r="K126" s="54"/>
      <c r="L126" s="82" t="s">
        <v>208</v>
      </c>
      <c r="M126" s="81">
        <f>SUM(M116:M125)</f>
        <v>56778.8</v>
      </c>
      <c r="N126" s="75"/>
      <c r="O126" s="72">
        <f>M126</f>
        <v>56778.8</v>
      </c>
    </row>
    <row r="127" spans="1:17" ht="18.75" customHeight="1" x14ac:dyDescent="0.25">
      <c r="A127" s="86"/>
      <c r="B127" s="86"/>
      <c r="C127" s="86"/>
      <c r="D127" s="86"/>
      <c r="E127" s="86"/>
      <c r="F127" s="86"/>
      <c r="G127" s="86"/>
      <c r="H127" s="86"/>
      <c r="I127" s="86"/>
      <c r="J127" s="86"/>
      <c r="K127" s="86"/>
      <c r="L127" s="86"/>
      <c r="M127" s="86"/>
    </row>
    <row r="128" spans="1:17" ht="25" customHeight="1" x14ac:dyDescent="0.25">
      <c r="A128" s="873" t="s">
        <v>233</v>
      </c>
      <c r="B128" s="874"/>
      <c r="C128" s="875"/>
      <c r="D128" s="884">
        <f>O128</f>
        <v>720853.47000000009</v>
      </c>
      <c r="E128" s="885"/>
      <c r="F128" s="885"/>
      <c r="G128" s="885"/>
      <c r="H128" s="885"/>
      <c r="I128" s="885"/>
      <c r="J128" s="885"/>
      <c r="K128" s="885"/>
      <c r="L128" s="885"/>
      <c r="M128" s="886"/>
      <c r="O128" s="72">
        <f>SUM(O28:O126)</f>
        <v>720853.47000000009</v>
      </c>
      <c r="Q128" s="4"/>
    </row>
    <row r="129" spans="1:17" ht="25" customHeight="1" x14ac:dyDescent="0.25">
      <c r="A129" s="873" t="s">
        <v>234</v>
      </c>
      <c r="B129" s="874"/>
      <c r="C129" s="875"/>
      <c r="D129" s="876"/>
      <c r="E129" s="877"/>
      <c r="F129" s="877"/>
      <c r="G129" s="877"/>
      <c r="H129" s="877"/>
      <c r="I129" s="877"/>
      <c r="J129" s="877"/>
      <c r="K129" s="877"/>
      <c r="L129" s="877"/>
      <c r="M129" s="878"/>
      <c r="O129" s="72"/>
      <c r="Q129" s="4"/>
    </row>
    <row r="130" spans="1:17" x14ac:dyDescent="0.25">
      <c r="A130" s="7"/>
      <c r="B130" s="7"/>
      <c r="C130" s="8"/>
      <c r="D130" s="7"/>
      <c r="E130" s="7"/>
    </row>
    <row r="131" spans="1:17" x14ac:dyDescent="0.25">
      <c r="B131" s="10"/>
      <c r="C131" s="11"/>
      <c r="D131" s="12"/>
      <c r="E131" s="12"/>
      <c r="F131" s="13"/>
      <c r="G131" s="13"/>
      <c r="H131" s="13"/>
      <c r="I131" s="13"/>
      <c r="J131" s="13"/>
      <c r="K131" s="13"/>
      <c r="L131" s="13"/>
      <c r="M131" s="13"/>
    </row>
    <row r="132" spans="1:17" x14ac:dyDescent="0.25">
      <c r="A132" s="10"/>
      <c r="B132" s="10"/>
      <c r="C132" s="11"/>
      <c r="D132" s="12"/>
      <c r="E132" s="12"/>
      <c r="F132" s="13"/>
      <c r="G132" s="13"/>
      <c r="H132" s="13"/>
      <c r="I132" s="13"/>
      <c r="J132" s="13"/>
      <c r="K132" s="13"/>
      <c r="L132" s="13"/>
      <c r="M132" s="13"/>
    </row>
    <row r="133" spans="1:17" x14ac:dyDescent="0.25">
      <c r="A133" s="2"/>
      <c r="B133" s="2" t="s">
        <v>207</v>
      </c>
      <c r="D133" s="2"/>
      <c r="E133" s="2"/>
      <c r="F133" s="2"/>
      <c r="G133" s="2"/>
      <c r="H133" s="2"/>
      <c r="I133" s="2"/>
      <c r="J133" s="2"/>
      <c r="K133" s="2"/>
      <c r="L133" s="2"/>
      <c r="M133" s="2"/>
    </row>
    <row r="134" spans="1:17" x14ac:dyDescent="0.25">
      <c r="A134" s="2"/>
      <c r="B134" s="2"/>
      <c r="D134" s="2"/>
      <c r="E134" s="2"/>
      <c r="F134" s="2"/>
      <c r="G134" s="2"/>
      <c r="H134" s="2"/>
      <c r="I134" s="2"/>
      <c r="J134" s="2"/>
      <c r="K134" s="2"/>
      <c r="L134" s="2"/>
      <c r="M134" s="2"/>
    </row>
    <row r="135" spans="1:17" x14ac:dyDescent="0.25">
      <c r="A135" s="2"/>
      <c r="B135" s="2"/>
      <c r="D135" s="2"/>
      <c r="E135" s="2"/>
      <c r="F135" s="2"/>
      <c r="G135" s="2"/>
      <c r="H135" s="2"/>
      <c r="I135" s="2"/>
      <c r="J135" s="2"/>
      <c r="K135" s="2"/>
      <c r="L135" s="2"/>
      <c r="M135" s="2"/>
    </row>
    <row r="136" spans="1:17" x14ac:dyDescent="0.25">
      <c r="A136" s="2"/>
      <c r="B136" s="2"/>
      <c r="D136" s="2"/>
      <c r="E136" s="2"/>
      <c r="F136" s="2"/>
      <c r="G136" s="2"/>
      <c r="H136" s="2"/>
      <c r="I136" s="2"/>
      <c r="J136" s="2"/>
      <c r="K136" s="2"/>
      <c r="L136" s="2"/>
      <c r="M136" s="2"/>
    </row>
    <row r="137" spans="1:17" x14ac:dyDescent="0.25">
      <c r="A137" s="2"/>
      <c r="B137" s="11" t="s">
        <v>17</v>
      </c>
      <c r="D137" s="15"/>
      <c r="F137" s="2"/>
      <c r="G137" s="15"/>
      <c r="H137" s="2"/>
      <c r="I137" s="2"/>
      <c r="J137" s="2"/>
      <c r="K137" s="2"/>
      <c r="L137" s="2"/>
      <c r="M137" s="2"/>
    </row>
    <row r="138" spans="1:17" x14ac:dyDescent="0.25">
      <c r="A138" s="2"/>
      <c r="B138" s="16" t="s">
        <v>94</v>
      </c>
      <c r="C138" s="16"/>
      <c r="D138" s="58"/>
      <c r="F138" s="2"/>
      <c r="G138" s="58"/>
      <c r="H138" s="2"/>
      <c r="I138" s="2"/>
      <c r="J138" s="2"/>
      <c r="K138" s="2"/>
      <c r="L138" s="2"/>
      <c r="M138" s="2"/>
    </row>
    <row r="139" spans="1:17" x14ac:dyDescent="0.25">
      <c r="A139" s="2"/>
      <c r="B139" s="16"/>
      <c r="C139" s="16"/>
      <c r="D139" s="2"/>
      <c r="E139" s="2"/>
      <c r="F139" s="2"/>
      <c r="G139" s="2"/>
      <c r="H139" s="2"/>
      <c r="I139" s="2"/>
      <c r="J139" s="2"/>
      <c r="K139" s="2"/>
      <c r="L139" s="2"/>
      <c r="M139" s="2"/>
    </row>
    <row r="140" spans="1:17" x14ac:dyDescent="0.25">
      <c r="A140" s="2"/>
      <c r="B140" s="2"/>
      <c r="D140" s="2"/>
      <c r="E140" s="2"/>
      <c r="F140" s="2"/>
      <c r="G140" s="2"/>
      <c r="H140" s="2"/>
      <c r="I140" s="2"/>
      <c r="J140" s="2"/>
      <c r="K140" s="2"/>
      <c r="L140" s="2"/>
      <c r="M140" s="2"/>
    </row>
    <row r="141" spans="1:17" x14ac:dyDescent="0.25">
      <c r="A141" s="2"/>
      <c r="B141" s="2" t="s">
        <v>97</v>
      </c>
      <c r="D141" s="2" t="s">
        <v>270</v>
      </c>
      <c r="E141" s="2"/>
      <c r="F141" s="2"/>
      <c r="G141" s="2"/>
      <c r="H141" s="2"/>
      <c r="I141" s="2"/>
      <c r="J141" s="2"/>
      <c r="K141" s="2"/>
      <c r="L141" s="2"/>
      <c r="M141" s="2"/>
    </row>
    <row r="142" spans="1:17" x14ac:dyDescent="0.25">
      <c r="A142" s="2"/>
      <c r="B142" s="2"/>
      <c r="D142" s="2"/>
      <c r="E142" s="2"/>
      <c r="F142" s="2"/>
      <c r="G142" s="2"/>
      <c r="H142" s="2"/>
      <c r="I142" s="2"/>
      <c r="J142" s="2"/>
      <c r="K142" s="2"/>
      <c r="L142" s="2"/>
      <c r="M142" s="2"/>
    </row>
    <row r="143" spans="1:17" x14ac:dyDescent="0.25">
      <c r="A143" s="2"/>
      <c r="B143" s="2"/>
      <c r="D143" s="2"/>
      <c r="E143" s="2"/>
      <c r="F143" s="2"/>
      <c r="G143" s="2"/>
      <c r="H143" s="2"/>
      <c r="I143" s="2"/>
      <c r="J143" s="2"/>
      <c r="K143" s="2"/>
      <c r="L143" s="2"/>
      <c r="M143" s="2"/>
    </row>
    <row r="144" spans="1:17" x14ac:dyDescent="0.25">
      <c r="A144" s="2"/>
      <c r="B144" s="2"/>
      <c r="D144" s="2"/>
      <c r="E144" s="2"/>
      <c r="F144" s="2"/>
      <c r="G144" s="2"/>
      <c r="H144" s="2"/>
      <c r="I144" s="2"/>
      <c r="J144" s="2"/>
      <c r="K144" s="2"/>
      <c r="L144" s="2"/>
      <c r="M144" s="2"/>
    </row>
    <row r="145" spans="1:13" ht="16.5" customHeight="1" x14ac:dyDescent="0.25">
      <c r="A145" s="2"/>
      <c r="B145" s="11" t="s">
        <v>93</v>
      </c>
      <c r="D145" s="11" t="s">
        <v>268</v>
      </c>
      <c r="E145" s="2"/>
      <c r="F145" s="2"/>
      <c r="G145" s="2"/>
      <c r="H145" s="2"/>
      <c r="I145" s="2"/>
      <c r="J145" s="2"/>
      <c r="K145" s="2"/>
      <c r="L145" s="2"/>
      <c r="M145" s="2"/>
    </row>
    <row r="146" spans="1:13" x14ac:dyDescent="0.25">
      <c r="A146" s="2"/>
      <c r="B146" s="16" t="s">
        <v>14</v>
      </c>
      <c r="D146" s="16" t="s">
        <v>269</v>
      </c>
      <c r="E146" s="2"/>
      <c r="F146" s="2"/>
      <c r="G146" s="2"/>
      <c r="H146" s="2"/>
      <c r="I146" s="2"/>
      <c r="J146" s="2"/>
      <c r="K146" s="2"/>
      <c r="L146" s="2"/>
      <c r="M146" s="2"/>
    </row>
    <row r="147" spans="1:13" x14ac:dyDescent="0.25">
      <c r="A147" s="2"/>
      <c r="C147" s="3"/>
      <c r="D147" s="2"/>
      <c r="F147" s="3"/>
      <c r="G147" s="3"/>
      <c r="H147" s="3"/>
      <c r="I147" s="3"/>
      <c r="J147" s="3"/>
      <c r="K147" s="3"/>
      <c r="L147" s="3"/>
      <c r="M147" s="3"/>
    </row>
    <row r="148" spans="1:13" x14ac:dyDescent="0.25">
      <c r="A148" s="2"/>
      <c r="B148" s="2"/>
      <c r="D148" s="2"/>
      <c r="E148" s="2"/>
      <c r="F148" s="2"/>
      <c r="G148" s="2"/>
      <c r="H148" s="2"/>
      <c r="I148" s="2"/>
      <c r="J148" s="2"/>
      <c r="K148" s="2"/>
      <c r="L148" s="2"/>
      <c r="M148" s="2"/>
    </row>
    <row r="149" spans="1:13" x14ac:dyDescent="0.25">
      <c r="A149" s="2"/>
      <c r="B149" s="2" t="s">
        <v>10</v>
      </c>
      <c r="D149" s="2" t="s">
        <v>11</v>
      </c>
      <c r="F149" s="2"/>
      <c r="G149" s="2"/>
      <c r="H149" s="2"/>
      <c r="I149" s="2"/>
      <c r="J149" s="2"/>
      <c r="K149" s="2"/>
      <c r="L149" s="2"/>
      <c r="M149" s="2"/>
    </row>
    <row r="150" spans="1:13" x14ac:dyDescent="0.25">
      <c r="A150" s="2"/>
      <c r="B150" s="2"/>
      <c r="D150" s="2"/>
      <c r="F150" s="2"/>
      <c r="G150" s="2"/>
      <c r="H150" s="2"/>
      <c r="I150" s="2"/>
      <c r="J150" s="2"/>
      <c r="K150" s="2"/>
      <c r="L150" s="2"/>
      <c r="M150" s="2"/>
    </row>
    <row r="151" spans="1:13" x14ac:dyDescent="0.25">
      <c r="D151" s="2"/>
    </row>
    <row r="152" spans="1:13" x14ac:dyDescent="0.25">
      <c r="B152" s="11" t="s">
        <v>12</v>
      </c>
      <c r="C152" s="10"/>
      <c r="D152" s="10" t="s">
        <v>13</v>
      </c>
      <c r="F152" s="2"/>
      <c r="H152" s="2"/>
      <c r="I152" s="2"/>
    </row>
    <row r="153" spans="1:13" x14ac:dyDescent="0.25">
      <c r="B153" s="16" t="s">
        <v>15</v>
      </c>
      <c r="C153" s="16"/>
      <c r="D153" s="16" t="s">
        <v>16</v>
      </c>
      <c r="F153" s="2"/>
      <c r="H153" s="2"/>
      <c r="I153" s="2"/>
    </row>
    <row r="154" spans="1:13" x14ac:dyDescent="0.25">
      <c r="C154" s="3"/>
      <c r="D154" s="2"/>
      <c r="F154" s="3"/>
      <c r="G154" s="3"/>
      <c r="H154" s="3"/>
      <c r="I154" s="3"/>
    </row>
  </sheetData>
  <mergeCells count="13">
    <mergeCell ref="D128:M128"/>
    <mergeCell ref="D129:M129"/>
    <mergeCell ref="A128:C128"/>
    <mergeCell ref="A129:C129"/>
    <mergeCell ref="M7:M8"/>
    <mergeCell ref="A7:B8"/>
    <mergeCell ref="D7:D8"/>
    <mergeCell ref="C7:C8"/>
    <mergeCell ref="E7:E8"/>
    <mergeCell ref="F7:I7"/>
    <mergeCell ref="J7:J8"/>
    <mergeCell ref="K7:K8"/>
    <mergeCell ref="L7:L8"/>
  </mergeCells>
  <printOptions horizontalCentered="1" verticalCentered="1"/>
  <pageMargins left="0.5" right="0.5" top="0.5" bottom="0.8" header="0" footer="0.5"/>
  <pageSetup paperSize="10000" scale="46" orientation="landscape" r:id="rId1"/>
  <headerFooter>
    <oddFooter>&amp;CPage &amp;P of &amp;[3</oddFooter>
  </headerFooter>
  <rowBreaks count="2" manualBreakCount="2">
    <brk id="66" max="12" man="1"/>
    <brk id="113" max="12"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9"/>
  <dimension ref="A1:H15"/>
  <sheetViews>
    <sheetView workbookViewId="0">
      <selection activeCell="F26" sqref="F26"/>
    </sheetView>
  </sheetViews>
  <sheetFormatPr baseColWidth="10" defaultColWidth="8.83203125" defaultRowHeight="13" x14ac:dyDescent="0.15"/>
  <cols>
    <col min="2" max="2" width="29.83203125" customWidth="1"/>
  </cols>
  <sheetData>
    <row r="1" spans="1:8" x14ac:dyDescent="0.15">
      <c r="C1" t="s">
        <v>100</v>
      </c>
      <c r="D1" s="59" t="s">
        <v>104</v>
      </c>
      <c r="E1" t="s">
        <v>101</v>
      </c>
      <c r="F1" t="s">
        <v>102</v>
      </c>
    </row>
    <row r="2" spans="1:8" x14ac:dyDescent="0.15">
      <c r="A2" t="s">
        <v>107</v>
      </c>
      <c r="D2" s="59"/>
      <c r="H2">
        <f>SUM(F3:F8)</f>
        <v>7220</v>
      </c>
    </row>
    <row r="3" spans="1:8" x14ac:dyDescent="0.15">
      <c r="B3" s="62" t="s">
        <v>129</v>
      </c>
      <c r="C3" s="63">
        <v>2</v>
      </c>
      <c r="D3" s="64" t="s">
        <v>18</v>
      </c>
      <c r="E3" s="63">
        <v>760</v>
      </c>
      <c r="F3" s="63">
        <f t="shared" ref="F3:F8" si="0">C3*E3</f>
        <v>1520</v>
      </c>
    </row>
    <row r="4" spans="1:8" x14ac:dyDescent="0.15">
      <c r="B4" s="62" t="s">
        <v>131</v>
      </c>
      <c r="C4" s="63">
        <v>8</v>
      </c>
      <c r="D4" s="64" t="s">
        <v>18</v>
      </c>
      <c r="E4" s="63">
        <v>500</v>
      </c>
      <c r="F4" s="63">
        <f t="shared" si="0"/>
        <v>4000</v>
      </c>
    </row>
    <row r="5" spans="1:8" x14ac:dyDescent="0.15">
      <c r="B5" s="63" t="s">
        <v>103</v>
      </c>
      <c r="C5" s="63">
        <v>8</v>
      </c>
      <c r="D5" s="64" t="s">
        <v>105</v>
      </c>
      <c r="E5" s="63">
        <v>90</v>
      </c>
      <c r="F5" s="63">
        <f t="shared" si="0"/>
        <v>720</v>
      </c>
    </row>
    <row r="6" spans="1:8" x14ac:dyDescent="0.15">
      <c r="B6" s="61" t="s">
        <v>132</v>
      </c>
      <c r="C6">
        <v>1</v>
      </c>
      <c r="D6" s="59" t="s">
        <v>18</v>
      </c>
      <c r="E6">
        <v>400</v>
      </c>
      <c r="F6">
        <f t="shared" si="0"/>
        <v>400</v>
      </c>
    </row>
    <row r="7" spans="1:8" x14ac:dyDescent="0.15">
      <c r="B7" t="s">
        <v>106</v>
      </c>
      <c r="C7">
        <v>10</v>
      </c>
      <c r="D7" s="59" t="s">
        <v>18</v>
      </c>
      <c r="E7">
        <v>50</v>
      </c>
      <c r="F7">
        <f t="shared" si="0"/>
        <v>500</v>
      </c>
    </row>
    <row r="8" spans="1:8" x14ac:dyDescent="0.15">
      <c r="B8" s="62" t="s">
        <v>127</v>
      </c>
      <c r="C8" s="63">
        <v>80</v>
      </c>
      <c r="D8" s="64" t="s">
        <v>18</v>
      </c>
      <c r="E8" s="63">
        <v>1</v>
      </c>
      <c r="F8" s="63">
        <f t="shared" si="0"/>
        <v>80</v>
      </c>
    </row>
    <row r="9" spans="1:8" x14ac:dyDescent="0.15">
      <c r="A9" t="s">
        <v>117</v>
      </c>
      <c r="H9">
        <f>F10</f>
        <v>2250</v>
      </c>
    </row>
    <row r="10" spans="1:8" x14ac:dyDescent="0.15">
      <c r="B10" s="62" t="s">
        <v>118</v>
      </c>
      <c r="C10" s="63">
        <v>9</v>
      </c>
      <c r="D10" s="63" t="s">
        <v>119</v>
      </c>
      <c r="E10" s="63">
        <v>250</v>
      </c>
      <c r="F10" s="63">
        <f>C10*E10</f>
        <v>2250</v>
      </c>
    </row>
    <row r="11" spans="1:8" x14ac:dyDescent="0.15">
      <c r="A11" t="s">
        <v>120</v>
      </c>
      <c r="H11">
        <f>SUM(F12:F13)</f>
        <v>2260</v>
      </c>
    </row>
    <row r="12" spans="1:8" x14ac:dyDescent="0.15">
      <c r="B12" s="63" t="s">
        <v>121</v>
      </c>
      <c r="C12" s="63">
        <v>34</v>
      </c>
      <c r="D12" s="63" t="s">
        <v>122</v>
      </c>
      <c r="E12" s="63">
        <v>40</v>
      </c>
      <c r="F12" s="63">
        <f>C12*E12</f>
        <v>1360</v>
      </c>
    </row>
    <row r="13" spans="1:8" x14ac:dyDescent="0.15">
      <c r="B13" s="63" t="s">
        <v>123</v>
      </c>
      <c r="C13" s="63">
        <v>1</v>
      </c>
      <c r="D13" s="63" t="s">
        <v>124</v>
      </c>
      <c r="E13" s="63">
        <v>900</v>
      </c>
      <c r="F13" s="63">
        <f>C13*E13</f>
        <v>900</v>
      </c>
    </row>
    <row r="15" spans="1:8" x14ac:dyDescent="0.15">
      <c r="E15" s="60" t="s">
        <v>126</v>
      </c>
      <c r="F15" s="60">
        <f>SUM(F3:F13)</f>
        <v>11730</v>
      </c>
      <c r="H15">
        <f>SUM(H1:H13)</f>
        <v>11730</v>
      </c>
    </row>
  </sheetData>
  <pageMargins left="0.7" right="0.7" top="0.75" bottom="0.75" header="0.3" footer="0.3"/>
  <pageSetup paperSize="9" orientation="portrait" horizontalDpi="4294967293"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0"/>
  <dimension ref="A1:H29"/>
  <sheetViews>
    <sheetView topLeftCell="A25" zoomScale="115" zoomScaleNormal="115" workbookViewId="0">
      <selection activeCell="H44" sqref="H44"/>
    </sheetView>
  </sheetViews>
  <sheetFormatPr baseColWidth="10" defaultColWidth="8.83203125" defaultRowHeight="13" x14ac:dyDescent="0.15"/>
  <cols>
    <col min="2" max="2" width="29.83203125" customWidth="1"/>
  </cols>
  <sheetData>
    <row r="1" spans="1:8" x14ac:dyDescent="0.15">
      <c r="C1" t="s">
        <v>100</v>
      </c>
      <c r="D1" s="59" t="s">
        <v>104</v>
      </c>
      <c r="E1" t="s">
        <v>101</v>
      </c>
      <c r="F1" t="s">
        <v>102</v>
      </c>
    </row>
    <row r="2" spans="1:8" x14ac:dyDescent="0.15">
      <c r="A2" t="s">
        <v>107</v>
      </c>
      <c r="D2" s="59"/>
      <c r="H2">
        <f>SUM(F3:F8)</f>
        <v>9780</v>
      </c>
    </row>
    <row r="3" spans="1:8" x14ac:dyDescent="0.15">
      <c r="B3" s="62" t="s">
        <v>129</v>
      </c>
      <c r="C3" s="63">
        <v>3</v>
      </c>
      <c r="D3" s="64" t="s">
        <v>18</v>
      </c>
      <c r="E3" s="63">
        <v>760</v>
      </c>
      <c r="F3" s="63">
        <f>C3*E3</f>
        <v>2280</v>
      </c>
    </row>
    <row r="4" spans="1:8" x14ac:dyDescent="0.15">
      <c r="B4" s="62" t="s">
        <v>131</v>
      </c>
      <c r="C4" s="63">
        <v>11.5</v>
      </c>
      <c r="D4" s="64" t="s">
        <v>18</v>
      </c>
      <c r="E4" s="63">
        <v>500</v>
      </c>
      <c r="F4" s="63">
        <f t="shared" ref="F4:F20" si="0">C4*E4</f>
        <v>5750</v>
      </c>
    </row>
    <row r="5" spans="1:8" x14ac:dyDescent="0.15">
      <c r="B5" s="63" t="s">
        <v>103</v>
      </c>
      <c r="C5" s="63">
        <v>12</v>
      </c>
      <c r="D5" s="64" t="s">
        <v>105</v>
      </c>
      <c r="E5" s="63">
        <v>90</v>
      </c>
      <c r="F5" s="63">
        <f t="shared" si="0"/>
        <v>1080</v>
      </c>
    </row>
    <row r="6" spans="1:8" x14ac:dyDescent="0.15">
      <c r="B6" s="61" t="s">
        <v>132</v>
      </c>
      <c r="C6">
        <v>1.2</v>
      </c>
      <c r="D6" s="59" t="s">
        <v>18</v>
      </c>
      <c r="E6">
        <v>400</v>
      </c>
      <c r="F6">
        <f t="shared" si="0"/>
        <v>480</v>
      </c>
    </row>
    <row r="7" spans="1:8" x14ac:dyDescent="0.15">
      <c r="B7" t="s">
        <v>106</v>
      </c>
      <c r="C7">
        <v>14</v>
      </c>
      <c r="D7" s="59" t="s">
        <v>18</v>
      </c>
      <c r="E7">
        <v>5</v>
      </c>
      <c r="F7">
        <f t="shared" si="0"/>
        <v>70</v>
      </c>
    </row>
    <row r="8" spans="1:8" x14ac:dyDescent="0.15">
      <c r="B8" s="62" t="s">
        <v>127</v>
      </c>
      <c r="C8" s="63">
        <v>120</v>
      </c>
      <c r="D8" s="64" t="s">
        <v>18</v>
      </c>
      <c r="E8" s="63">
        <v>1</v>
      </c>
      <c r="F8" s="63">
        <f>C8*E8</f>
        <v>120</v>
      </c>
    </row>
    <row r="9" spans="1:8" x14ac:dyDescent="0.15">
      <c r="A9" t="s">
        <v>108</v>
      </c>
      <c r="H9">
        <f>SUM(F10:F13)</f>
        <v>2576</v>
      </c>
    </row>
    <row r="10" spans="1:8" x14ac:dyDescent="0.15">
      <c r="B10" t="s">
        <v>99</v>
      </c>
      <c r="C10">
        <v>1</v>
      </c>
      <c r="D10" s="59" t="s">
        <v>18</v>
      </c>
      <c r="E10">
        <v>1200</v>
      </c>
      <c r="F10">
        <f t="shared" si="0"/>
        <v>1200</v>
      </c>
    </row>
    <row r="11" spans="1:8" x14ac:dyDescent="0.15">
      <c r="B11" s="61" t="s">
        <v>128</v>
      </c>
      <c r="C11">
        <v>1</v>
      </c>
      <c r="D11" s="59" t="s">
        <v>18</v>
      </c>
      <c r="E11">
        <v>1000</v>
      </c>
      <c r="F11">
        <f t="shared" si="0"/>
        <v>1000</v>
      </c>
    </row>
    <row r="12" spans="1:8" x14ac:dyDescent="0.15">
      <c r="B12" t="s">
        <v>109</v>
      </c>
      <c r="C12">
        <v>7.2</v>
      </c>
      <c r="D12" s="59" t="s">
        <v>98</v>
      </c>
      <c r="E12">
        <v>30</v>
      </c>
      <c r="F12">
        <f t="shared" si="0"/>
        <v>216</v>
      </c>
    </row>
    <row r="13" spans="1:8" x14ac:dyDescent="0.15">
      <c r="B13" t="s">
        <v>110</v>
      </c>
      <c r="C13">
        <v>1</v>
      </c>
      <c r="D13" s="65" t="s">
        <v>133</v>
      </c>
      <c r="E13">
        <v>160</v>
      </c>
      <c r="F13">
        <f t="shared" si="0"/>
        <v>160</v>
      </c>
    </row>
    <row r="14" spans="1:8" x14ac:dyDescent="0.15">
      <c r="A14" t="s">
        <v>111</v>
      </c>
      <c r="H14">
        <f>SUM(F15:F20)</f>
        <v>14356</v>
      </c>
    </row>
    <row r="15" spans="1:8" x14ac:dyDescent="0.15">
      <c r="B15" s="63" t="s">
        <v>112</v>
      </c>
      <c r="C15" s="63">
        <v>7.2</v>
      </c>
      <c r="D15" s="64" t="s">
        <v>98</v>
      </c>
      <c r="E15" s="63">
        <v>625</v>
      </c>
      <c r="F15" s="63">
        <f t="shared" si="0"/>
        <v>4500</v>
      </c>
    </row>
    <row r="16" spans="1:8" x14ac:dyDescent="0.15">
      <c r="B16" s="63" t="s">
        <v>113</v>
      </c>
      <c r="C16" s="63">
        <v>1</v>
      </c>
      <c r="D16" s="64" t="s">
        <v>1</v>
      </c>
      <c r="E16" s="63">
        <v>1079</v>
      </c>
      <c r="F16" s="63">
        <f t="shared" si="0"/>
        <v>1079</v>
      </c>
    </row>
    <row r="17" spans="1:8" x14ac:dyDescent="0.15">
      <c r="B17" s="63" t="s">
        <v>114</v>
      </c>
      <c r="C17" s="63">
        <v>7.2</v>
      </c>
      <c r="D17" s="64" t="s">
        <v>98</v>
      </c>
      <c r="E17" s="63">
        <v>590</v>
      </c>
      <c r="F17" s="63">
        <f t="shared" si="0"/>
        <v>4248</v>
      </c>
    </row>
    <row r="18" spans="1:8" x14ac:dyDescent="0.15">
      <c r="B18" s="63" t="s">
        <v>115</v>
      </c>
      <c r="C18" s="63">
        <v>1</v>
      </c>
      <c r="D18" s="64" t="s">
        <v>1</v>
      </c>
      <c r="E18" s="63">
        <v>929</v>
      </c>
      <c r="F18" s="63">
        <f t="shared" si="0"/>
        <v>929</v>
      </c>
    </row>
    <row r="19" spans="1:8" x14ac:dyDescent="0.15">
      <c r="B19" s="63" t="s">
        <v>130</v>
      </c>
      <c r="C19" s="63">
        <v>8</v>
      </c>
      <c r="D19" s="64" t="s">
        <v>18</v>
      </c>
      <c r="E19" s="63">
        <v>270</v>
      </c>
      <c r="F19" s="63">
        <f t="shared" si="0"/>
        <v>2160</v>
      </c>
    </row>
    <row r="20" spans="1:8" x14ac:dyDescent="0.15">
      <c r="B20" s="63" t="s">
        <v>116</v>
      </c>
      <c r="C20" s="63">
        <v>8</v>
      </c>
      <c r="D20" s="64" t="s">
        <v>18</v>
      </c>
      <c r="E20" s="63">
        <v>180</v>
      </c>
      <c r="F20" s="63">
        <f t="shared" si="0"/>
        <v>1440</v>
      </c>
    </row>
    <row r="21" spans="1:8" x14ac:dyDescent="0.15">
      <c r="A21" t="s">
        <v>118</v>
      </c>
      <c r="H21">
        <f>F23</f>
        <v>3250</v>
      </c>
    </row>
    <row r="22" spans="1:8" x14ac:dyDescent="0.15">
      <c r="B22" s="63" t="s">
        <v>135</v>
      </c>
    </row>
    <row r="23" spans="1:8" x14ac:dyDescent="0.15">
      <c r="B23" s="62" t="s">
        <v>117</v>
      </c>
      <c r="C23" s="63">
        <v>13</v>
      </c>
      <c r="D23" s="63" t="s">
        <v>119</v>
      </c>
      <c r="E23" s="63">
        <v>250</v>
      </c>
      <c r="F23" s="63">
        <f>C23*E23</f>
        <v>3250</v>
      </c>
    </row>
    <row r="24" spans="1:8" x14ac:dyDescent="0.15">
      <c r="A24" t="s">
        <v>120</v>
      </c>
      <c r="H24">
        <f>SUM(F25:F27)</f>
        <v>3400</v>
      </c>
    </row>
    <row r="25" spans="1:8" x14ac:dyDescent="0.15">
      <c r="B25" s="63" t="s">
        <v>121</v>
      </c>
      <c r="C25" s="63">
        <v>50</v>
      </c>
      <c r="D25" s="63" t="s">
        <v>122</v>
      </c>
      <c r="E25" s="63">
        <v>40</v>
      </c>
      <c r="F25" s="63">
        <f>C25*E25</f>
        <v>2000</v>
      </c>
    </row>
    <row r="26" spans="1:8" x14ac:dyDescent="0.15">
      <c r="B26" s="63" t="s">
        <v>123</v>
      </c>
      <c r="C26" s="63">
        <v>1</v>
      </c>
      <c r="D26" s="63" t="s">
        <v>124</v>
      </c>
      <c r="E26" s="63">
        <v>900</v>
      </c>
      <c r="F26" s="63">
        <f>C26*E26</f>
        <v>900</v>
      </c>
    </row>
    <row r="27" spans="1:8" x14ac:dyDescent="0.15">
      <c r="B27" s="62" t="s">
        <v>125</v>
      </c>
      <c r="C27" s="63">
        <v>1</v>
      </c>
      <c r="D27" s="63" t="s">
        <v>124</v>
      </c>
      <c r="E27" s="63">
        <v>500</v>
      </c>
      <c r="F27" s="63">
        <f>C27*E27</f>
        <v>500</v>
      </c>
    </row>
    <row r="29" spans="1:8" x14ac:dyDescent="0.15">
      <c r="E29" s="60" t="s">
        <v>126</v>
      </c>
      <c r="F29" s="60">
        <f>SUM(F3:F27)</f>
        <v>33362</v>
      </c>
      <c r="H29">
        <f>SUM(H1:H26)</f>
        <v>33362</v>
      </c>
    </row>
  </sheetData>
  <pageMargins left="0.7" right="0.7" top="0.75" bottom="0.75" header="0.3" footer="0.3"/>
  <pageSetup paperSize="9" orientation="portrait" horizontalDpi="4294967293"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K47"/>
  <sheetViews>
    <sheetView view="pageBreakPreview" zoomScale="85" zoomScaleNormal="115" zoomScaleSheetLayoutView="85" workbookViewId="0">
      <selection activeCell="A25" sqref="A25:I27"/>
    </sheetView>
  </sheetViews>
  <sheetFormatPr baseColWidth="10" defaultColWidth="9.1640625" defaultRowHeight="14" x14ac:dyDescent="0.15"/>
  <cols>
    <col min="1" max="1" width="14.1640625" style="17" customWidth="1"/>
    <col min="2" max="2" width="10.33203125" style="17" customWidth="1"/>
    <col min="3" max="3" width="9.1640625" style="17" customWidth="1"/>
    <col min="4" max="4" width="10.83203125" style="17" customWidth="1"/>
    <col min="5" max="5" width="10.5" style="17" customWidth="1"/>
    <col min="6" max="6" width="12" style="17" customWidth="1"/>
    <col min="7" max="10" width="9.1640625" style="17" customWidth="1"/>
    <col min="11" max="11" width="13.1640625" style="17" customWidth="1"/>
    <col min="12" max="16384" width="9.1640625" style="17"/>
  </cols>
  <sheetData>
    <row r="1" spans="1:9" x14ac:dyDescent="0.15">
      <c r="A1" s="893" t="s">
        <v>48</v>
      </c>
      <c r="B1" s="893"/>
      <c r="C1" s="893"/>
      <c r="D1" s="893"/>
      <c r="E1" s="893"/>
      <c r="F1" s="893"/>
      <c r="G1" s="893"/>
      <c r="H1" s="893"/>
      <c r="I1" s="893"/>
    </row>
    <row r="2" spans="1:9" x14ac:dyDescent="0.15">
      <c r="A2" s="894" t="s">
        <v>44</v>
      </c>
      <c r="B2" s="894"/>
      <c r="C2" s="894"/>
      <c r="D2" s="894"/>
      <c r="E2" s="894"/>
      <c r="F2" s="894"/>
      <c r="G2" s="894"/>
      <c r="H2" s="894"/>
      <c r="I2" s="894"/>
    </row>
    <row r="3" spans="1:9" x14ac:dyDescent="0.15">
      <c r="A3" s="895" t="s">
        <v>47</v>
      </c>
      <c r="B3" s="895"/>
      <c r="C3" s="895"/>
      <c r="D3" s="895"/>
      <c r="E3" s="895"/>
      <c r="F3" s="895"/>
      <c r="G3" s="895"/>
      <c r="H3" s="895"/>
      <c r="I3" s="895"/>
    </row>
    <row r="4" spans="1:9" x14ac:dyDescent="0.15">
      <c r="A4" s="23"/>
      <c r="B4" s="23"/>
      <c r="C4" s="23"/>
      <c r="D4" s="23"/>
      <c r="E4" s="23"/>
      <c r="F4" s="23"/>
      <c r="G4" s="23"/>
      <c r="H4" s="23"/>
      <c r="I4" s="23"/>
    </row>
    <row r="5" spans="1:9" x14ac:dyDescent="0.15">
      <c r="G5" s="21"/>
      <c r="H5" s="896"/>
      <c r="I5" s="896"/>
    </row>
    <row r="6" spans="1:9" x14ac:dyDescent="0.15">
      <c r="G6" s="21"/>
      <c r="H6" s="28"/>
      <c r="I6" s="28"/>
    </row>
    <row r="7" spans="1:9" ht="16" x14ac:dyDescent="0.15">
      <c r="A7" s="897" t="s">
        <v>89</v>
      </c>
      <c r="B7" s="897"/>
      <c r="C7" s="897"/>
      <c r="D7" s="897"/>
      <c r="E7" s="897"/>
      <c r="F7" s="897"/>
      <c r="G7" s="897"/>
      <c r="H7" s="897"/>
      <c r="I7" s="897"/>
    </row>
    <row r="8" spans="1:9" x14ac:dyDescent="0.15">
      <c r="D8" s="21"/>
      <c r="E8" s="27" t="s">
        <v>46</v>
      </c>
    </row>
    <row r="9" spans="1:9" x14ac:dyDescent="0.15">
      <c r="D9" s="21"/>
      <c r="E9" s="27"/>
    </row>
    <row r="10" spans="1:9" x14ac:dyDescent="0.15">
      <c r="D10" s="21"/>
      <c r="E10" s="27"/>
    </row>
    <row r="11" spans="1:9" x14ac:dyDescent="0.15">
      <c r="D11" s="21"/>
    </row>
    <row r="12" spans="1:9" x14ac:dyDescent="0.15">
      <c r="A12" s="17" t="s">
        <v>45</v>
      </c>
      <c r="B12" s="25" t="s">
        <v>44</v>
      </c>
      <c r="D12" s="25"/>
    </row>
    <row r="13" spans="1:9" x14ac:dyDescent="0.15">
      <c r="A13" s="17" t="s">
        <v>43</v>
      </c>
      <c r="B13" s="25" t="s">
        <v>7</v>
      </c>
      <c r="C13" s="25"/>
      <c r="D13" s="25"/>
      <c r="E13" s="25"/>
    </row>
    <row r="14" spans="1:9" x14ac:dyDescent="0.15">
      <c r="B14" s="18"/>
      <c r="C14" s="25"/>
      <c r="D14" s="25"/>
      <c r="E14" s="25"/>
    </row>
    <row r="15" spans="1:9" x14ac:dyDescent="0.15">
      <c r="B15" s="26"/>
      <c r="D15" s="21"/>
      <c r="G15" s="17" t="s">
        <v>42</v>
      </c>
    </row>
    <row r="16" spans="1:9" x14ac:dyDescent="0.15">
      <c r="B16" s="895"/>
      <c r="C16" s="895"/>
      <c r="G16" s="17" t="s">
        <v>41</v>
      </c>
    </row>
    <row r="17" spans="1:9" x14ac:dyDescent="0.15">
      <c r="A17" s="17" t="s">
        <v>40</v>
      </c>
      <c r="B17" s="25" t="s">
        <v>39</v>
      </c>
      <c r="C17" s="25"/>
      <c r="E17" s="25"/>
      <c r="G17" s="17" t="s">
        <v>38</v>
      </c>
    </row>
    <row r="18" spans="1:9" x14ac:dyDescent="0.15">
      <c r="A18" s="21" t="s">
        <v>37</v>
      </c>
      <c r="B18" s="898">
        <v>42438</v>
      </c>
      <c r="C18" s="899"/>
      <c r="G18" s="17" t="s">
        <v>36</v>
      </c>
    </row>
    <row r="19" spans="1:9" x14ac:dyDescent="0.15">
      <c r="B19" s="17" t="s">
        <v>51</v>
      </c>
    </row>
    <row r="20" spans="1:9" x14ac:dyDescent="0.15">
      <c r="A20" s="900" t="s">
        <v>35</v>
      </c>
      <c r="B20" s="901"/>
      <c r="C20" s="901"/>
      <c r="D20" s="901"/>
      <c r="E20" s="901"/>
      <c r="F20" s="901"/>
      <c r="G20" s="901"/>
      <c r="H20" s="901"/>
      <c r="I20" s="902"/>
    </row>
    <row r="21" spans="1:9" ht="14.25" customHeight="1" x14ac:dyDescent="0.15">
      <c r="A21" s="903" t="s">
        <v>90</v>
      </c>
      <c r="B21" s="904"/>
      <c r="C21" s="904"/>
      <c r="D21" s="904"/>
      <c r="E21" s="904"/>
      <c r="F21" s="904"/>
      <c r="G21" s="904"/>
      <c r="H21" s="904"/>
      <c r="I21" s="905"/>
    </row>
    <row r="22" spans="1:9" x14ac:dyDescent="0.15">
      <c r="A22" s="906"/>
      <c r="B22" s="907"/>
      <c r="C22" s="907"/>
      <c r="D22" s="907"/>
      <c r="E22" s="907"/>
      <c r="F22" s="907"/>
      <c r="G22" s="907"/>
      <c r="H22" s="907"/>
      <c r="I22" s="908"/>
    </row>
    <row r="23" spans="1:9" x14ac:dyDescent="0.15">
      <c r="A23" s="909"/>
      <c r="B23" s="910"/>
      <c r="C23" s="910"/>
      <c r="D23" s="910"/>
      <c r="E23" s="910"/>
      <c r="F23" s="910"/>
      <c r="G23" s="910"/>
      <c r="H23" s="910"/>
      <c r="I23" s="911"/>
    </row>
    <row r="24" spans="1:9" x14ac:dyDescent="0.15">
      <c r="A24" s="900" t="s">
        <v>34</v>
      </c>
      <c r="B24" s="901"/>
      <c r="C24" s="901"/>
      <c r="D24" s="901"/>
      <c r="E24" s="901"/>
      <c r="F24" s="901"/>
      <c r="G24" s="901"/>
      <c r="H24" s="901"/>
      <c r="I24" s="902"/>
    </row>
    <row r="25" spans="1:9" x14ac:dyDescent="0.15">
      <c r="A25" s="914" t="s">
        <v>33</v>
      </c>
      <c r="B25" s="915"/>
      <c r="C25" s="915"/>
      <c r="D25" s="915"/>
      <c r="E25" s="915"/>
      <c r="F25" s="915"/>
      <c r="G25" s="915"/>
      <c r="H25" s="915"/>
      <c r="I25" s="916"/>
    </row>
    <row r="26" spans="1:9" x14ac:dyDescent="0.15">
      <c r="A26" s="917"/>
      <c r="B26" s="918"/>
      <c r="C26" s="918"/>
      <c r="D26" s="918"/>
      <c r="E26" s="918"/>
      <c r="F26" s="918"/>
      <c r="G26" s="918"/>
      <c r="H26" s="918"/>
      <c r="I26" s="919"/>
    </row>
    <row r="27" spans="1:9" x14ac:dyDescent="0.15">
      <c r="A27" s="920"/>
      <c r="B27" s="921"/>
      <c r="C27" s="921"/>
      <c r="D27" s="921"/>
      <c r="E27" s="921"/>
      <c r="F27" s="921"/>
      <c r="G27" s="921"/>
      <c r="H27" s="921"/>
      <c r="I27" s="922"/>
    </row>
    <row r="28" spans="1:9" x14ac:dyDescent="0.15">
      <c r="A28" s="17" t="s">
        <v>32</v>
      </c>
      <c r="F28" s="24" t="s">
        <v>31</v>
      </c>
      <c r="G28" s="23"/>
    </row>
    <row r="29" spans="1:9" x14ac:dyDescent="0.15">
      <c r="A29" s="17" t="s">
        <v>30</v>
      </c>
      <c r="F29" s="21" t="s">
        <v>29</v>
      </c>
      <c r="G29" s="912"/>
      <c r="H29" s="912"/>
      <c r="I29" s="912"/>
    </row>
    <row r="30" spans="1:9" x14ac:dyDescent="0.15">
      <c r="A30" s="17" t="s">
        <v>28</v>
      </c>
      <c r="C30" s="22" t="s">
        <v>27</v>
      </c>
      <c r="F30" s="21" t="s">
        <v>26</v>
      </c>
      <c r="G30" s="913"/>
      <c r="H30" s="913"/>
      <c r="I30" s="913"/>
    </row>
    <row r="32" spans="1:9" x14ac:dyDescent="0.15">
      <c r="A32" s="17" t="s">
        <v>25</v>
      </c>
    </row>
    <row r="33" spans="1:11" x14ac:dyDescent="0.15">
      <c r="A33" s="903" t="s">
        <v>24</v>
      </c>
      <c r="B33" s="904"/>
      <c r="C33" s="904"/>
      <c r="D33" s="904"/>
      <c r="E33" s="904"/>
      <c r="F33" s="904"/>
      <c r="G33" s="904"/>
      <c r="H33" s="904"/>
      <c r="I33" s="905"/>
    </row>
    <row r="34" spans="1:11" x14ac:dyDescent="0.15">
      <c r="A34" s="906"/>
      <c r="B34" s="907"/>
      <c r="C34" s="907"/>
      <c r="D34" s="907"/>
      <c r="E34" s="907"/>
      <c r="F34" s="907"/>
      <c r="G34" s="907"/>
      <c r="H34" s="907"/>
      <c r="I34" s="908"/>
    </row>
    <row r="35" spans="1:11" x14ac:dyDescent="0.15">
      <c r="A35" s="906"/>
      <c r="B35" s="907"/>
      <c r="C35" s="907"/>
      <c r="D35" s="907"/>
      <c r="E35" s="907"/>
      <c r="F35" s="907"/>
      <c r="G35" s="907"/>
      <c r="H35" s="907"/>
      <c r="I35" s="908"/>
    </row>
    <row r="36" spans="1:11" x14ac:dyDescent="0.15">
      <c r="A36" s="909"/>
      <c r="B36" s="910"/>
      <c r="C36" s="910"/>
      <c r="D36" s="910"/>
      <c r="E36" s="910"/>
      <c r="F36" s="910"/>
      <c r="G36" s="910"/>
      <c r="H36" s="910"/>
      <c r="I36" s="911"/>
    </row>
    <row r="37" spans="1:11" x14ac:dyDescent="0.15">
      <c r="A37" s="47" t="s">
        <v>85</v>
      </c>
      <c r="B37" s="48"/>
      <c r="E37" s="889"/>
      <c r="F37" s="890"/>
      <c r="G37" s="48" t="s">
        <v>86</v>
      </c>
      <c r="H37" s="891" t="e">
        <f>#REF!</f>
        <v>#REF!</v>
      </c>
      <c r="I37" s="892"/>
    </row>
    <row r="38" spans="1:11" x14ac:dyDescent="0.15">
      <c r="A38" s="888" t="s">
        <v>23</v>
      </c>
      <c r="B38" s="888"/>
      <c r="C38" s="888"/>
      <c r="D38" s="888"/>
      <c r="E38" s="888"/>
      <c r="F38" s="888" t="s">
        <v>22</v>
      </c>
      <c r="G38" s="888"/>
      <c r="H38" s="888"/>
      <c r="I38" s="888"/>
    </row>
    <row r="41" spans="1:11" x14ac:dyDescent="0.15">
      <c r="K41" s="20"/>
    </row>
    <row r="43" spans="1:11" x14ac:dyDescent="0.15">
      <c r="A43" s="19" t="s">
        <v>21</v>
      </c>
    </row>
    <row r="44" spans="1:11" x14ac:dyDescent="0.15">
      <c r="A44" s="19"/>
    </row>
    <row r="45" spans="1:11" x14ac:dyDescent="0.15">
      <c r="G45" s="18"/>
      <c r="H45" s="18"/>
      <c r="I45" s="18"/>
    </row>
    <row r="46" spans="1:11" x14ac:dyDescent="0.15">
      <c r="A46" s="49" t="s">
        <v>87</v>
      </c>
      <c r="B46" s="49"/>
      <c r="C46" s="49"/>
    </row>
    <row r="47" spans="1:11" x14ac:dyDescent="0.15">
      <c r="A47" s="51" t="s">
        <v>20</v>
      </c>
      <c r="B47" s="28"/>
      <c r="C47" s="28"/>
    </row>
  </sheetData>
  <mergeCells count="18">
    <mergeCell ref="A24:I24"/>
    <mergeCell ref="A21:I23"/>
    <mergeCell ref="A38:E38"/>
    <mergeCell ref="F38:I38"/>
    <mergeCell ref="E37:F37"/>
    <mergeCell ref="H37:I37"/>
    <mergeCell ref="A1:I1"/>
    <mergeCell ref="A2:I2"/>
    <mergeCell ref="A3:I3"/>
    <mergeCell ref="H5:I5"/>
    <mergeCell ref="A7:I7"/>
    <mergeCell ref="B16:C16"/>
    <mergeCell ref="B18:C18"/>
    <mergeCell ref="A20:I20"/>
    <mergeCell ref="A33:I36"/>
    <mergeCell ref="G29:I29"/>
    <mergeCell ref="G30:I30"/>
    <mergeCell ref="A25:I27"/>
  </mergeCells>
  <printOptions horizontalCentered="1"/>
  <pageMargins left="0.69791666666666696" right="0.69791666666666696" top="0.75" bottom="0.75" header="0.3" footer="0.3"/>
  <pageSetup paperSize="5" scale="96" orientation="portrait"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2"/>
  <dimension ref="A1:M64"/>
  <sheetViews>
    <sheetView view="pageBreakPreview" zoomScale="70" zoomScaleNormal="100" zoomScaleSheetLayoutView="70" workbookViewId="0">
      <selection activeCell="V28" sqref="V28"/>
    </sheetView>
  </sheetViews>
  <sheetFormatPr baseColWidth="10" defaultColWidth="9.1640625" defaultRowHeight="14" x14ac:dyDescent="0.15"/>
  <cols>
    <col min="1" max="1" width="11.1640625" style="17" customWidth="1"/>
    <col min="2" max="2" width="3.1640625" style="17" customWidth="1"/>
    <col min="3" max="3" width="11.83203125" style="17" customWidth="1"/>
    <col min="4" max="4" width="3" style="17" customWidth="1"/>
    <col min="5" max="5" width="13" style="17" customWidth="1"/>
    <col min="6" max="10" width="9.1640625" style="17" customWidth="1"/>
    <col min="11" max="11" width="10.83203125" style="17" customWidth="1"/>
    <col min="12" max="12" width="9.1640625" style="17" customWidth="1"/>
    <col min="13" max="13" width="13.1640625" style="17" customWidth="1"/>
    <col min="14" max="16384" width="9.1640625" style="17"/>
  </cols>
  <sheetData>
    <row r="1" spans="1:12" x14ac:dyDescent="0.15">
      <c r="A1" s="894" t="s">
        <v>48</v>
      </c>
      <c r="B1" s="894"/>
      <c r="C1" s="894"/>
      <c r="D1" s="894"/>
      <c r="E1" s="894"/>
      <c r="F1" s="894"/>
      <c r="G1" s="894"/>
      <c r="H1" s="894"/>
      <c r="I1" s="894"/>
      <c r="J1" s="894"/>
      <c r="K1" s="894"/>
      <c r="L1" s="25"/>
    </row>
    <row r="2" spans="1:12" x14ac:dyDescent="0.15">
      <c r="A2" s="894" t="s">
        <v>44</v>
      </c>
      <c r="B2" s="894"/>
      <c r="C2" s="894"/>
      <c r="D2" s="894"/>
      <c r="E2" s="894"/>
      <c r="F2" s="894"/>
      <c r="G2" s="894"/>
      <c r="H2" s="894"/>
      <c r="I2" s="894"/>
      <c r="J2" s="894"/>
      <c r="K2" s="894"/>
    </row>
    <row r="3" spans="1:12" x14ac:dyDescent="0.15">
      <c r="A3" s="895" t="s">
        <v>47</v>
      </c>
      <c r="B3" s="895"/>
      <c r="C3" s="895"/>
      <c r="D3" s="895"/>
      <c r="E3" s="895"/>
      <c r="F3" s="895"/>
      <c r="G3" s="895"/>
      <c r="H3" s="895"/>
      <c r="I3" s="895"/>
      <c r="J3" s="895"/>
      <c r="K3" s="895"/>
    </row>
    <row r="5" spans="1:12" ht="16" x14ac:dyDescent="0.15">
      <c r="A5" s="897" t="s">
        <v>84</v>
      </c>
      <c r="B5" s="897"/>
      <c r="C5" s="897"/>
      <c r="D5" s="897"/>
      <c r="E5" s="897"/>
      <c r="F5" s="897"/>
      <c r="G5" s="897"/>
      <c r="H5" s="897"/>
      <c r="I5" s="897"/>
      <c r="J5" s="897"/>
      <c r="K5" s="897"/>
    </row>
    <row r="6" spans="1:12" ht="13" customHeight="1" x14ac:dyDescent="0.15">
      <c r="A6" s="934" t="s">
        <v>83</v>
      </c>
      <c r="B6" s="934"/>
      <c r="C6" s="934"/>
      <c r="D6" s="934"/>
      <c r="E6" s="934"/>
      <c r="F6" s="934"/>
      <c r="G6" s="935">
        <v>1</v>
      </c>
      <c r="H6" s="935"/>
    </row>
    <row r="7" spans="1:12" ht="13" customHeight="1" x14ac:dyDescent="0.15">
      <c r="A7" s="21"/>
      <c r="B7" s="21"/>
      <c r="C7" s="21"/>
      <c r="D7" s="21"/>
      <c r="E7" s="21"/>
      <c r="F7" s="21"/>
      <c r="G7" s="28"/>
      <c r="H7" s="28"/>
    </row>
    <row r="8" spans="1:12" ht="13" customHeight="1" x14ac:dyDescent="0.15">
      <c r="A8" s="21"/>
      <c r="B8" s="21"/>
      <c r="C8" s="21"/>
      <c r="D8" s="21"/>
      <c r="E8" s="21"/>
      <c r="F8" s="21"/>
      <c r="G8" s="28"/>
      <c r="H8" s="28"/>
    </row>
    <row r="9" spans="1:12" ht="13" customHeight="1" x14ac:dyDescent="0.15">
      <c r="A9" s="21"/>
      <c r="B9" s="21"/>
      <c r="C9" s="21"/>
      <c r="D9" s="21"/>
      <c r="E9" s="21"/>
      <c r="F9" s="21"/>
      <c r="G9" s="28"/>
      <c r="H9" s="28"/>
    </row>
    <row r="10" spans="1:12" ht="16" x14ac:dyDescent="0.15">
      <c r="A10" s="29" t="s">
        <v>82</v>
      </c>
      <c r="B10" s="32" t="s">
        <v>78</v>
      </c>
      <c r="C10" s="928" t="s">
        <v>81</v>
      </c>
      <c r="D10" s="928"/>
      <c r="E10" s="928"/>
      <c r="F10" s="928"/>
      <c r="G10" s="928"/>
      <c r="H10" s="928"/>
      <c r="I10" s="928"/>
      <c r="J10" s="928"/>
      <c r="K10" s="928"/>
    </row>
    <row r="11" spans="1:12" ht="16" x14ac:dyDescent="0.15">
      <c r="A11" s="29" t="s">
        <v>80</v>
      </c>
      <c r="B11" s="32" t="s">
        <v>78</v>
      </c>
      <c r="C11" s="929" t="s">
        <v>7</v>
      </c>
      <c r="D11" s="929"/>
      <c r="E11" s="929"/>
      <c r="F11" s="929"/>
      <c r="G11" s="929"/>
      <c r="H11" s="929"/>
      <c r="I11" s="929"/>
      <c r="J11" s="929"/>
      <c r="K11" s="929"/>
    </row>
    <row r="12" spans="1:12" ht="16" x14ac:dyDescent="0.15">
      <c r="A12" s="29" t="s">
        <v>79</v>
      </c>
      <c r="B12" s="32" t="s">
        <v>78</v>
      </c>
      <c r="C12" s="932">
        <v>42438</v>
      </c>
      <c r="D12" s="932"/>
      <c r="E12" s="932"/>
      <c r="F12" s="45"/>
      <c r="G12" s="45"/>
      <c r="H12" s="45"/>
      <c r="I12" s="45"/>
      <c r="J12" s="45"/>
      <c r="K12" s="45"/>
    </row>
    <row r="13" spans="1:12" ht="16" x14ac:dyDescent="0.15">
      <c r="A13" s="29"/>
      <c r="B13" s="32"/>
      <c r="C13" s="45"/>
      <c r="D13" s="45"/>
      <c r="E13" s="45"/>
      <c r="F13" s="45"/>
      <c r="G13" s="45"/>
      <c r="H13" s="45"/>
      <c r="I13" s="45"/>
      <c r="J13" s="45"/>
      <c r="K13" s="45"/>
    </row>
    <row r="14" spans="1:12" ht="15" thickBot="1" x14ac:dyDescent="0.2">
      <c r="A14" s="43"/>
      <c r="B14" s="43"/>
      <c r="C14" s="44"/>
      <c r="D14" s="43"/>
      <c r="E14" s="43"/>
      <c r="F14" s="43"/>
      <c r="G14" s="43"/>
      <c r="H14" s="43"/>
      <c r="I14" s="43"/>
      <c r="J14" s="43"/>
      <c r="K14" s="43"/>
    </row>
    <row r="15" spans="1:12" x14ac:dyDescent="0.15">
      <c r="C15" s="25"/>
    </row>
    <row r="17" spans="1:13" ht="16" x14ac:dyDescent="0.15">
      <c r="A17" s="29" t="s">
        <v>77</v>
      </c>
      <c r="B17" s="29"/>
      <c r="C17" s="29"/>
      <c r="D17" s="29"/>
      <c r="E17" s="29"/>
      <c r="F17" s="29"/>
      <c r="G17" s="29"/>
      <c r="H17" s="29"/>
      <c r="I17" s="29"/>
      <c r="J17" s="29"/>
      <c r="K17" s="29"/>
    </row>
    <row r="18" spans="1:13" ht="16" x14ac:dyDescent="0.15">
      <c r="A18" s="29"/>
      <c r="B18" s="29"/>
      <c r="C18" s="29"/>
      <c r="D18" s="29"/>
      <c r="E18" s="29"/>
      <c r="F18" s="29"/>
      <c r="G18" s="29"/>
      <c r="H18" s="29"/>
      <c r="I18" s="29"/>
      <c r="J18" s="29"/>
      <c r="K18" s="29"/>
    </row>
    <row r="19" spans="1:13" ht="16" x14ac:dyDescent="0.15">
      <c r="A19" s="29" t="s">
        <v>76</v>
      </c>
      <c r="B19" s="29"/>
      <c r="C19" s="933" t="s">
        <v>24</v>
      </c>
      <c r="D19" s="933"/>
      <c r="E19" s="933"/>
      <c r="F19" s="933"/>
      <c r="G19" s="933"/>
      <c r="H19" s="933"/>
      <c r="I19" s="933"/>
      <c r="J19" s="933"/>
      <c r="K19" s="933"/>
    </row>
    <row r="20" spans="1:13" ht="30.75" customHeight="1" x14ac:dyDescent="0.15">
      <c r="A20" s="29"/>
      <c r="B20" s="29"/>
      <c r="C20" s="933"/>
      <c r="D20" s="933"/>
      <c r="E20" s="933"/>
      <c r="F20" s="933"/>
      <c r="G20" s="933"/>
      <c r="H20" s="933"/>
      <c r="I20" s="933"/>
      <c r="J20" s="933"/>
      <c r="K20" s="933"/>
    </row>
    <row r="21" spans="1:13" ht="16" x14ac:dyDescent="0.15">
      <c r="A21" s="29"/>
      <c r="B21" s="29"/>
      <c r="C21" s="29"/>
      <c r="D21" s="29"/>
      <c r="E21" s="29"/>
      <c r="F21" s="29"/>
      <c r="G21" s="29"/>
      <c r="H21" s="29"/>
      <c r="I21" s="29"/>
      <c r="J21" s="29"/>
      <c r="K21" s="29"/>
    </row>
    <row r="22" spans="1:13" ht="16" x14ac:dyDescent="0.15">
      <c r="A22" s="29" t="s">
        <v>75</v>
      </c>
      <c r="B22" s="29"/>
      <c r="C22" s="29"/>
      <c r="D22" s="29"/>
      <c r="E22" s="29"/>
      <c r="F22" s="29"/>
      <c r="G22" s="29"/>
      <c r="H22" s="29"/>
      <c r="I22" s="29"/>
      <c r="J22" s="29"/>
      <c r="K22" s="29"/>
    </row>
    <row r="23" spans="1:13" ht="16" x14ac:dyDescent="0.15">
      <c r="A23" s="29"/>
      <c r="B23" s="29" t="s">
        <v>74</v>
      </c>
      <c r="C23" s="29"/>
      <c r="D23" s="29"/>
      <c r="E23" s="29"/>
      <c r="F23" s="29"/>
      <c r="G23" s="29"/>
      <c r="H23" s="32" t="s">
        <v>69</v>
      </c>
      <c r="I23" s="930">
        <v>21348166.75</v>
      </c>
      <c r="J23" s="930"/>
      <c r="K23" s="930"/>
      <c r="M23" s="52" t="e">
        <f>(I25/I23)*100</f>
        <v>#REF!</v>
      </c>
    </row>
    <row r="24" spans="1:13" ht="16" x14ac:dyDescent="0.15">
      <c r="A24" s="29"/>
      <c r="B24" s="29" t="s">
        <v>73</v>
      </c>
      <c r="C24" s="29"/>
      <c r="D24" s="29"/>
      <c r="E24" s="29"/>
      <c r="F24" s="29"/>
      <c r="G24" s="29"/>
      <c r="H24" s="29"/>
      <c r="I24" s="29"/>
      <c r="J24" s="29"/>
      <c r="K24" s="29"/>
    </row>
    <row r="25" spans="1:13" ht="16" x14ac:dyDescent="0.15">
      <c r="A25" s="29"/>
      <c r="B25" s="40"/>
      <c r="C25" s="29" t="s">
        <v>60</v>
      </c>
      <c r="D25" s="40"/>
      <c r="E25" s="29" t="s">
        <v>59</v>
      </c>
      <c r="F25" s="29" t="s">
        <v>72</v>
      </c>
      <c r="G25" s="29"/>
      <c r="H25" s="32" t="s">
        <v>69</v>
      </c>
      <c r="I25" s="930" t="e">
        <f>#REF!</f>
        <v>#REF!</v>
      </c>
      <c r="J25" s="931"/>
      <c r="K25" s="931"/>
    </row>
    <row r="26" spans="1:13" ht="16" x14ac:dyDescent="0.15">
      <c r="A26" s="29"/>
      <c r="B26" s="29" t="s">
        <v>71</v>
      </c>
      <c r="C26" s="29"/>
      <c r="D26" s="29"/>
      <c r="E26" s="29"/>
      <c r="F26" s="29"/>
      <c r="G26" s="29"/>
      <c r="H26" s="29"/>
      <c r="I26" s="29"/>
      <c r="J26" s="29"/>
      <c r="K26" s="29"/>
    </row>
    <row r="27" spans="1:13" ht="16" x14ac:dyDescent="0.15">
      <c r="A27" s="29"/>
      <c r="B27" s="29" t="s">
        <v>70</v>
      </c>
      <c r="C27" s="29"/>
      <c r="D27" s="29"/>
      <c r="E27" s="29"/>
      <c r="F27" s="29"/>
      <c r="G27" s="29"/>
      <c r="H27" s="32" t="s">
        <v>69</v>
      </c>
      <c r="I27" s="924" t="e">
        <f>I23+I25</f>
        <v>#REF!</v>
      </c>
      <c r="J27" s="924"/>
      <c r="K27" s="924"/>
    </row>
    <row r="28" spans="1:13" ht="16" x14ac:dyDescent="0.15">
      <c r="A28" s="42"/>
      <c r="B28" s="42"/>
      <c r="C28" s="42"/>
      <c r="D28" s="42"/>
      <c r="E28" s="42"/>
      <c r="F28" s="42"/>
      <c r="G28" s="42"/>
      <c r="H28" s="42"/>
      <c r="I28" s="42"/>
      <c r="J28" s="42"/>
      <c r="K28" s="42"/>
      <c r="L28" s="42"/>
    </row>
    <row r="29" spans="1:13" ht="16" hidden="1" x14ac:dyDescent="0.15">
      <c r="A29" s="35" t="s">
        <v>63</v>
      </c>
      <c r="B29" s="29"/>
      <c r="C29" s="29"/>
      <c r="D29" s="29"/>
      <c r="E29" s="29"/>
      <c r="F29" s="29"/>
      <c r="G29" s="29"/>
      <c r="H29" s="29"/>
      <c r="I29" s="29"/>
      <c r="J29" s="29"/>
      <c r="K29" s="29"/>
    </row>
    <row r="30" spans="1:13" ht="16" hidden="1" x14ac:dyDescent="0.15">
      <c r="A30" s="42"/>
      <c r="B30" s="29" t="s">
        <v>62</v>
      </c>
      <c r="C30" s="29"/>
      <c r="D30" s="29"/>
      <c r="E30" s="29"/>
      <c r="F30" s="29"/>
      <c r="G30" s="29"/>
      <c r="H30" s="32"/>
      <c r="I30" s="41" t="s">
        <v>67</v>
      </c>
      <c r="J30" s="29" t="s">
        <v>66</v>
      </c>
      <c r="K30" s="29"/>
    </row>
    <row r="31" spans="1:13" ht="16" hidden="1" x14ac:dyDescent="0.15">
      <c r="A31" s="29"/>
      <c r="B31" s="29" t="s">
        <v>68</v>
      </c>
      <c r="C31" s="29"/>
      <c r="D31" s="29"/>
      <c r="E31" s="29"/>
      <c r="F31" s="29"/>
      <c r="G31" s="29"/>
      <c r="H31" s="29"/>
      <c r="I31" s="29"/>
      <c r="J31" s="29"/>
      <c r="K31" s="29"/>
    </row>
    <row r="32" spans="1:13" ht="16" hidden="1" x14ac:dyDescent="0.15">
      <c r="A32" s="29"/>
      <c r="B32" s="29"/>
      <c r="C32" s="29" t="s">
        <v>60</v>
      </c>
      <c r="D32" s="29"/>
      <c r="E32" s="29" t="s">
        <v>59</v>
      </c>
      <c r="F32" s="29" t="s">
        <v>58</v>
      </c>
      <c r="G32" s="29"/>
      <c r="H32" s="32"/>
      <c r="I32" s="41" t="s">
        <v>67</v>
      </c>
      <c r="J32" s="29" t="s">
        <v>66</v>
      </c>
      <c r="K32" s="29"/>
    </row>
    <row r="33" spans="1:11" ht="16" hidden="1" x14ac:dyDescent="0.15">
      <c r="A33" s="29"/>
      <c r="B33" s="29" t="s">
        <v>57</v>
      </c>
      <c r="C33" s="29"/>
      <c r="D33" s="29"/>
      <c r="E33" s="29"/>
      <c r="F33" s="29"/>
      <c r="G33" s="29"/>
      <c r="H33" s="29"/>
      <c r="I33" s="29"/>
      <c r="J33" s="29"/>
      <c r="K33" s="29"/>
    </row>
    <row r="34" spans="1:11" ht="16" hidden="1" x14ac:dyDescent="0.15">
      <c r="A34" s="29"/>
      <c r="B34" s="29" t="s">
        <v>65</v>
      </c>
      <c r="C34" s="29"/>
      <c r="D34" s="29"/>
      <c r="E34" s="29"/>
      <c r="F34" s="29"/>
      <c r="G34" s="29"/>
      <c r="H34" s="32"/>
      <c r="I34" s="925" t="s">
        <v>64</v>
      </c>
      <c r="J34" s="925"/>
      <c r="K34" s="925"/>
    </row>
    <row r="35" spans="1:11" ht="16" x14ac:dyDescent="0.15">
      <c r="A35" s="29" t="s">
        <v>63</v>
      </c>
      <c r="B35" s="29"/>
      <c r="C35" s="29"/>
      <c r="D35" s="29"/>
      <c r="E35" s="29"/>
      <c r="F35" s="29"/>
      <c r="G35" s="29"/>
      <c r="H35" s="29"/>
      <c r="I35" s="29"/>
      <c r="J35" s="29"/>
      <c r="K35" s="29"/>
    </row>
    <row r="36" spans="1:11" ht="16" x14ac:dyDescent="0.15">
      <c r="A36" s="29"/>
      <c r="B36" s="29" t="s">
        <v>62</v>
      </c>
      <c r="C36" s="29"/>
      <c r="D36" s="29"/>
      <c r="E36" s="29"/>
      <c r="F36" s="29"/>
      <c r="G36" s="29"/>
      <c r="H36" s="32"/>
      <c r="I36" s="38">
        <v>10</v>
      </c>
      <c r="J36" s="29" t="s">
        <v>55</v>
      </c>
      <c r="K36" s="29"/>
    </row>
    <row r="37" spans="1:11" ht="16" x14ac:dyDescent="0.15">
      <c r="A37" s="29"/>
      <c r="B37" s="29" t="s">
        <v>61</v>
      </c>
      <c r="C37" s="29"/>
      <c r="D37" s="29"/>
      <c r="E37" s="29"/>
      <c r="F37" s="29"/>
      <c r="G37" s="29"/>
      <c r="H37" s="29"/>
      <c r="I37" s="39"/>
      <c r="J37" s="29"/>
      <c r="K37" s="29"/>
    </row>
    <row r="38" spans="1:11" ht="16" x14ac:dyDescent="0.15">
      <c r="A38" s="29"/>
      <c r="B38" s="40"/>
      <c r="C38" s="29" t="s">
        <v>60</v>
      </c>
      <c r="D38" s="40"/>
      <c r="E38" s="29" t="s">
        <v>59</v>
      </c>
      <c r="F38" s="29" t="s">
        <v>58</v>
      </c>
      <c r="G38" s="29"/>
      <c r="H38" s="32"/>
      <c r="I38" s="38">
        <v>3</v>
      </c>
      <c r="J38" s="29" t="s">
        <v>55</v>
      </c>
      <c r="K38" s="29"/>
    </row>
    <row r="39" spans="1:11" ht="16" x14ac:dyDescent="0.15">
      <c r="A39" s="29"/>
      <c r="B39" s="29" t="s">
        <v>57</v>
      </c>
      <c r="C39" s="29"/>
      <c r="D39" s="29"/>
      <c r="E39" s="29"/>
      <c r="F39" s="29"/>
      <c r="G39" s="29"/>
      <c r="H39" s="29"/>
      <c r="I39" s="39"/>
      <c r="J39" s="29"/>
      <c r="K39" s="29"/>
    </row>
    <row r="40" spans="1:11" ht="16" x14ac:dyDescent="0.15">
      <c r="A40" s="29"/>
      <c r="B40" s="29" t="s">
        <v>56</v>
      </c>
      <c r="C40" s="29"/>
      <c r="D40" s="29"/>
      <c r="E40" s="29"/>
      <c r="F40" s="29"/>
      <c r="G40" s="29"/>
      <c r="H40" s="32"/>
      <c r="I40" s="38">
        <f>I36+I38</f>
        <v>13</v>
      </c>
      <c r="J40" s="37" t="s">
        <v>55</v>
      </c>
      <c r="K40" s="36"/>
    </row>
    <row r="41" spans="1:11" ht="16" x14ac:dyDescent="0.15">
      <c r="A41" s="29"/>
      <c r="B41" s="29"/>
      <c r="C41" s="29"/>
      <c r="D41" s="29"/>
      <c r="E41" s="29"/>
      <c r="F41" s="29"/>
      <c r="G41" s="29"/>
      <c r="H41" s="29"/>
      <c r="I41" s="29"/>
      <c r="J41" s="29"/>
      <c r="K41" s="29"/>
    </row>
    <row r="42" spans="1:11" ht="16" x14ac:dyDescent="0.15">
      <c r="A42" s="29" t="s">
        <v>54</v>
      </c>
      <c r="B42" s="29"/>
      <c r="C42" s="29"/>
      <c r="D42" s="29"/>
      <c r="E42" s="29"/>
      <c r="F42" s="29"/>
      <c r="G42" s="29"/>
      <c r="H42" s="29"/>
      <c r="I42" s="29"/>
      <c r="J42" s="29"/>
      <c r="K42" s="29"/>
    </row>
    <row r="43" spans="1:11" ht="16" x14ac:dyDescent="0.15">
      <c r="A43" s="29"/>
      <c r="B43" s="926" t="s">
        <v>53</v>
      </c>
      <c r="C43" s="926"/>
      <c r="D43" s="926"/>
      <c r="E43" s="926"/>
      <c r="F43" s="926"/>
      <c r="G43" s="926"/>
      <c r="H43" s="926"/>
      <c r="I43" s="926"/>
      <c r="J43" s="926"/>
      <c r="K43" s="926"/>
    </row>
    <row r="44" spans="1:11" ht="16" x14ac:dyDescent="0.15">
      <c r="A44" s="29"/>
      <c r="B44" s="926"/>
      <c r="C44" s="926"/>
      <c r="D44" s="926"/>
      <c r="E44" s="926"/>
      <c r="F44" s="926"/>
      <c r="G44" s="926"/>
      <c r="H44" s="926"/>
      <c r="I44" s="926"/>
      <c r="J44" s="926"/>
      <c r="K44" s="926"/>
    </row>
    <row r="45" spans="1:11" ht="25.5" customHeight="1" x14ac:dyDescent="0.15">
      <c r="A45" s="29"/>
      <c r="B45" s="926"/>
      <c r="C45" s="926"/>
      <c r="D45" s="926"/>
      <c r="E45" s="926"/>
      <c r="F45" s="926"/>
      <c r="G45" s="926"/>
      <c r="H45" s="926"/>
      <c r="I45" s="926"/>
      <c r="J45" s="926"/>
      <c r="K45" s="926"/>
    </row>
    <row r="48" spans="1:11" x14ac:dyDescent="0.15">
      <c r="E48" s="23"/>
    </row>
    <row r="49" spans="1:11" ht="16" x14ac:dyDescent="0.15">
      <c r="A49" s="30" t="s">
        <v>52</v>
      </c>
      <c r="B49" s="29"/>
      <c r="C49" s="29"/>
      <c r="D49" s="29"/>
      <c r="E49" s="29"/>
      <c r="F49" s="29"/>
      <c r="G49" s="34"/>
      <c r="H49" s="29" t="s">
        <v>51</v>
      </c>
      <c r="I49" s="29"/>
      <c r="J49" s="29"/>
      <c r="K49" s="29"/>
    </row>
    <row r="50" spans="1:11" ht="16" x14ac:dyDescent="0.15">
      <c r="A50" s="30"/>
      <c r="B50" s="29"/>
      <c r="C50" s="29"/>
      <c r="D50" s="29"/>
      <c r="E50" s="29"/>
      <c r="F50" s="29"/>
      <c r="G50" s="34"/>
      <c r="H50" s="29"/>
      <c r="I50" s="29"/>
      <c r="J50" s="29"/>
      <c r="K50" s="29"/>
    </row>
    <row r="51" spans="1:11" ht="16" x14ac:dyDescent="0.15">
      <c r="A51" s="30"/>
      <c r="B51" s="29"/>
      <c r="C51" s="29"/>
      <c r="D51" s="29"/>
      <c r="E51" s="29"/>
      <c r="F51" s="29"/>
      <c r="G51" s="34"/>
      <c r="H51" s="29"/>
      <c r="I51" s="29"/>
      <c r="J51" s="29"/>
      <c r="K51" s="29"/>
    </row>
    <row r="52" spans="1:11" ht="16" x14ac:dyDescent="0.15">
      <c r="A52" s="50" t="s">
        <v>39</v>
      </c>
      <c r="B52" s="29"/>
      <c r="C52" s="29"/>
      <c r="D52" s="29"/>
      <c r="E52" s="29"/>
      <c r="F52" s="29"/>
      <c r="G52" s="34"/>
      <c r="H52" s="29"/>
      <c r="I52" s="29"/>
      <c r="J52" s="29"/>
      <c r="K52" s="29"/>
    </row>
    <row r="53" spans="1:11" ht="16" x14ac:dyDescent="0.15">
      <c r="A53" s="37" t="s">
        <v>50</v>
      </c>
      <c r="B53" s="29"/>
      <c r="C53" s="29"/>
      <c r="D53" s="29"/>
      <c r="E53" s="29"/>
      <c r="F53" s="29"/>
      <c r="G53" s="34"/>
      <c r="H53" s="29"/>
      <c r="I53" s="29"/>
      <c r="J53" s="29"/>
      <c r="K53" s="29"/>
    </row>
    <row r="54" spans="1:11" ht="16" x14ac:dyDescent="0.15">
      <c r="A54" s="33"/>
      <c r="B54" s="33"/>
      <c r="C54" s="33"/>
      <c r="D54" s="33"/>
      <c r="E54" s="33"/>
      <c r="G54" s="31"/>
      <c r="H54" s="927"/>
      <c r="I54" s="927"/>
      <c r="J54" s="927"/>
      <c r="K54" s="927"/>
    </row>
    <row r="55" spans="1:11" ht="16" x14ac:dyDescent="0.15">
      <c r="A55" s="32"/>
      <c r="B55" s="31"/>
      <c r="C55" s="31"/>
      <c r="D55" s="31"/>
      <c r="E55" s="31"/>
      <c r="F55" s="31"/>
      <c r="G55" s="31"/>
      <c r="H55" s="31"/>
      <c r="I55" s="31"/>
      <c r="J55" s="31"/>
      <c r="K55" s="31"/>
    </row>
    <row r="56" spans="1:11" ht="16" x14ac:dyDescent="0.15">
      <c r="A56" s="32"/>
      <c r="B56" s="31"/>
      <c r="C56" s="31"/>
      <c r="D56" s="31"/>
      <c r="E56" s="31"/>
      <c r="F56" s="31"/>
      <c r="G56" s="31"/>
      <c r="H56" s="31"/>
      <c r="I56" s="31"/>
      <c r="J56" s="31"/>
      <c r="K56" s="31"/>
    </row>
    <row r="57" spans="1:11" ht="16" x14ac:dyDescent="0.15">
      <c r="A57" s="29"/>
      <c r="B57" s="29"/>
      <c r="C57" s="29"/>
      <c r="D57" s="29"/>
      <c r="E57" s="29"/>
      <c r="F57" s="29"/>
      <c r="G57" s="29"/>
      <c r="H57" s="29"/>
      <c r="I57" s="29"/>
      <c r="J57" s="29"/>
      <c r="K57" s="29"/>
    </row>
    <row r="58" spans="1:11" ht="16" x14ac:dyDescent="0.15">
      <c r="A58" s="30" t="s">
        <v>49</v>
      </c>
      <c r="B58" s="29"/>
      <c r="C58" s="29"/>
      <c r="D58" s="29"/>
      <c r="E58" s="29"/>
      <c r="F58" s="29"/>
      <c r="H58" s="30" t="s">
        <v>21</v>
      </c>
      <c r="I58" s="29"/>
      <c r="J58" s="29"/>
      <c r="K58" s="29"/>
    </row>
    <row r="59" spans="1:11" ht="16" x14ac:dyDescent="0.15">
      <c r="A59" s="29"/>
      <c r="B59" s="29"/>
      <c r="C59" s="29"/>
      <c r="D59" s="29"/>
      <c r="E59" s="29"/>
      <c r="F59" s="29"/>
      <c r="G59" s="29"/>
      <c r="H59" s="29"/>
      <c r="I59" s="29"/>
      <c r="J59" s="29"/>
      <c r="K59" s="29"/>
    </row>
    <row r="60" spans="1:11" ht="16" x14ac:dyDescent="0.15">
      <c r="A60" s="29"/>
      <c r="B60" s="29"/>
      <c r="C60" s="29"/>
      <c r="D60" s="29"/>
      <c r="E60" s="29"/>
      <c r="F60" s="29"/>
      <c r="G60" s="29"/>
      <c r="H60" s="29"/>
      <c r="I60" s="29"/>
      <c r="J60" s="29"/>
      <c r="K60" s="29"/>
    </row>
    <row r="61" spans="1:11" ht="16" x14ac:dyDescent="0.15">
      <c r="A61" s="50" t="s">
        <v>87</v>
      </c>
      <c r="B61" s="34"/>
      <c r="C61" s="34"/>
      <c r="D61" s="34"/>
      <c r="E61" s="34"/>
      <c r="F61" s="34"/>
      <c r="G61" s="29"/>
      <c r="H61" s="928" t="s">
        <v>88</v>
      </c>
      <c r="I61" s="928"/>
      <c r="J61" s="928"/>
      <c r="K61" s="928"/>
    </row>
    <row r="62" spans="1:11" ht="16" x14ac:dyDescent="0.15">
      <c r="A62" s="37" t="s">
        <v>20</v>
      </c>
      <c r="B62" s="29"/>
      <c r="C62" s="29"/>
      <c r="D62" s="29"/>
      <c r="E62" s="29"/>
      <c r="F62" s="29"/>
      <c r="G62" s="29"/>
      <c r="H62" s="923" t="s">
        <v>16</v>
      </c>
      <c r="I62" s="923"/>
      <c r="J62" s="923"/>
      <c r="K62" s="923"/>
    </row>
    <row r="63" spans="1:11" ht="16" x14ac:dyDescent="0.15">
      <c r="A63" s="29"/>
      <c r="B63" s="29"/>
      <c r="C63" s="29"/>
      <c r="D63" s="29"/>
      <c r="E63" s="29"/>
      <c r="F63" s="29"/>
      <c r="G63" s="29"/>
      <c r="H63" s="29"/>
      <c r="I63" s="29"/>
      <c r="J63" s="29"/>
      <c r="K63" s="29"/>
    </row>
    <row r="64" spans="1:11" ht="16" x14ac:dyDescent="0.15">
      <c r="A64" s="29"/>
      <c r="B64" s="29"/>
      <c r="C64" s="29"/>
      <c r="D64" s="29"/>
      <c r="E64" s="29"/>
      <c r="F64" s="29"/>
      <c r="G64" s="29"/>
      <c r="H64" s="29"/>
      <c r="I64" s="29"/>
      <c r="J64" s="29"/>
      <c r="K64" s="29"/>
    </row>
  </sheetData>
  <mergeCells count="18">
    <mergeCell ref="A1:K1"/>
    <mergeCell ref="A2:K2"/>
    <mergeCell ref="A3:K3"/>
    <mergeCell ref="A5:K5"/>
    <mergeCell ref="A6:F6"/>
    <mergeCell ref="G6:H6"/>
    <mergeCell ref="C10:K10"/>
    <mergeCell ref="C11:K11"/>
    <mergeCell ref="I23:K23"/>
    <mergeCell ref="I25:K25"/>
    <mergeCell ref="C12:E12"/>
    <mergeCell ref="C19:K20"/>
    <mergeCell ref="H62:K62"/>
    <mergeCell ref="I27:K27"/>
    <mergeCell ref="I34:K34"/>
    <mergeCell ref="B43:K45"/>
    <mergeCell ref="H54:K54"/>
    <mergeCell ref="H61:K61"/>
  </mergeCells>
  <printOptions horizontalCentered="1"/>
  <pageMargins left="0.69791666666666696" right="0.69791666666666696" top="0.75" bottom="0.75" header="0.3" footer="0.3"/>
  <pageSetup paperSize="5" scale="92"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F98C-8020-4943-A242-3A27AF3BB1A7}">
  <sheetPr codeName="Sheet7"/>
  <dimension ref="A1:F52"/>
  <sheetViews>
    <sheetView view="pageBreakPreview" zoomScale="90" zoomScaleNormal="100" zoomScaleSheetLayoutView="90" workbookViewId="0">
      <selection activeCell="A9" sqref="A9:D10"/>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938">
        <v>6</v>
      </c>
      <c r="B9" s="936" t="s">
        <v>392</v>
      </c>
      <c r="C9" s="937"/>
      <c r="D9" s="937"/>
      <c r="E9" s="937"/>
      <c r="F9" s="937"/>
    </row>
    <row r="10" spans="1:6" ht="17" x14ac:dyDescent="0.15">
      <c r="A10" s="769">
        <v>6.4</v>
      </c>
      <c r="B10" s="753" t="s">
        <v>1595</v>
      </c>
      <c r="C10" s="940">
        <v>1</v>
      </c>
      <c r="D10" s="939"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12F18-FB12-421B-B17F-52F7A48797BB}">
  <sheetPr codeName="Sheet8"/>
  <dimension ref="A1:F52"/>
  <sheetViews>
    <sheetView view="pageBreakPreview" zoomScale="90" zoomScaleNormal="100" zoomScaleSheetLayoutView="90" workbookViewId="0">
      <selection activeCell="A9" sqref="A9:D10"/>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938">
        <v>6</v>
      </c>
      <c r="B9" s="936" t="s">
        <v>392</v>
      </c>
      <c r="C9" s="937"/>
      <c r="D9" s="937"/>
      <c r="E9" s="937"/>
      <c r="F9" s="937"/>
    </row>
    <row r="10" spans="1:6" ht="17" x14ac:dyDescent="0.15">
      <c r="A10" s="769">
        <v>6.3</v>
      </c>
      <c r="B10" s="753" t="s">
        <v>1701</v>
      </c>
      <c r="C10" s="940">
        <v>1</v>
      </c>
      <c r="D10" s="939"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EE29A-3485-4091-B80E-462C16A3DD5B}">
  <sheetPr codeName="Sheet9"/>
  <dimension ref="A1:F52"/>
  <sheetViews>
    <sheetView view="pageBreakPreview" zoomScale="90" zoomScaleNormal="100" zoomScaleSheetLayoutView="90" workbookViewId="0">
      <selection activeCell="A9" sqref="A9:D10"/>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938">
        <v>6</v>
      </c>
      <c r="B9" s="936" t="s">
        <v>392</v>
      </c>
      <c r="C9" s="937"/>
      <c r="D9" s="937"/>
      <c r="E9" s="937"/>
      <c r="F9" s="937"/>
    </row>
    <row r="10" spans="1:6" ht="17" x14ac:dyDescent="0.15">
      <c r="A10" s="769">
        <v>6.2</v>
      </c>
      <c r="B10" s="753" t="s">
        <v>1700</v>
      </c>
      <c r="C10" s="940">
        <v>1</v>
      </c>
      <c r="D10" s="939"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658C8-1830-4622-95EE-F327CD7F47A1}">
  <sheetPr codeName="Sheet10"/>
  <dimension ref="A1:F52"/>
  <sheetViews>
    <sheetView view="pageBreakPreview" zoomScale="90" zoomScaleNormal="100" zoomScaleSheetLayoutView="90" workbookViewId="0">
      <selection activeCell="A9" sqref="A9:D10"/>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938">
        <v>6</v>
      </c>
      <c r="B9" s="936" t="s">
        <v>392</v>
      </c>
      <c r="C9" s="937"/>
      <c r="D9" s="937"/>
      <c r="E9" s="937"/>
      <c r="F9" s="937"/>
    </row>
    <row r="10" spans="1:6" ht="17" x14ac:dyDescent="0.15">
      <c r="A10" s="769">
        <v>6.1</v>
      </c>
      <c r="B10" s="753" t="s">
        <v>1699</v>
      </c>
      <c r="C10" s="940">
        <v>1</v>
      </c>
      <c r="D10" s="939"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A2ABA-10D3-476A-9198-5C758F03D222}">
  <sheetPr codeName="Sheet11"/>
  <dimension ref="A1:F52"/>
  <sheetViews>
    <sheetView view="pageBreakPreview" zoomScale="90" zoomScaleNormal="100" zoomScaleSheetLayoutView="90" workbookViewId="0">
      <selection activeCell="A5" sqref="A5"/>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5</v>
      </c>
      <c r="B9" s="753" t="s">
        <v>398</v>
      </c>
      <c r="C9" s="696"/>
      <c r="D9" s="696"/>
      <c r="E9" s="696"/>
      <c r="F9" s="696"/>
    </row>
    <row r="10" spans="1:6" ht="17" x14ac:dyDescent="0.15">
      <c r="A10" s="769" t="s">
        <v>1697</v>
      </c>
      <c r="B10" s="768" t="s">
        <v>1698</v>
      </c>
      <c r="C10" s="696">
        <v>1</v>
      </c>
      <c r="D10" s="761"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A48:E48"/>
    <mergeCell ref="C50:F50"/>
    <mergeCell ref="C51:F51"/>
    <mergeCell ref="C52:F52"/>
    <mergeCell ref="B42:E42"/>
    <mergeCell ref="A43:F43"/>
    <mergeCell ref="A44:D44"/>
    <mergeCell ref="A45:D45"/>
    <mergeCell ref="A46:E46"/>
    <mergeCell ref="A47:E47"/>
    <mergeCell ref="C41:D41"/>
    <mergeCell ref="C30:D30"/>
    <mergeCell ref="C31:D31"/>
    <mergeCell ref="C32:D32"/>
    <mergeCell ref="B33:E33"/>
    <mergeCell ref="A34:F34"/>
    <mergeCell ref="B35:F35"/>
    <mergeCell ref="C36:D36"/>
    <mergeCell ref="C37:D37"/>
    <mergeCell ref="C38:D38"/>
    <mergeCell ref="C39:D39"/>
    <mergeCell ref="C40:D40"/>
    <mergeCell ref="C29:D29"/>
    <mergeCell ref="A1:F2"/>
    <mergeCell ref="E3:F3"/>
    <mergeCell ref="A4:F4"/>
    <mergeCell ref="A7:F7"/>
    <mergeCell ref="A11:F11"/>
    <mergeCell ref="B12:F12"/>
    <mergeCell ref="B24:E24"/>
    <mergeCell ref="A25:F25"/>
    <mergeCell ref="B26:F26"/>
    <mergeCell ref="C27:D27"/>
    <mergeCell ref="C28:D28"/>
  </mergeCells>
  <pageMargins left="0.7" right="0.7" top="0.75" bottom="0.75" header="0.3" footer="0.3"/>
  <pageSetup paperSize="14" scale="79"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A66FC-549B-4A88-8721-48F563558DC1}">
  <sheetPr codeName="Sheet12"/>
  <dimension ref="A1:F52"/>
  <sheetViews>
    <sheetView view="pageBreakPreview" zoomScale="90" zoomScaleNormal="100" zoomScaleSheetLayoutView="90" workbookViewId="0">
      <selection activeCell="A9" sqref="A9:D10"/>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5</v>
      </c>
      <c r="B9" s="753" t="s">
        <v>398</v>
      </c>
      <c r="C9" s="696"/>
      <c r="D9" s="696"/>
      <c r="E9" s="696"/>
      <c r="F9" s="696"/>
    </row>
    <row r="10" spans="1:6" ht="17" x14ac:dyDescent="0.15">
      <c r="A10" s="769">
        <v>5.9</v>
      </c>
      <c r="B10" s="768" t="s">
        <v>1589</v>
      </c>
      <c r="C10" s="696">
        <v>1</v>
      </c>
      <c r="D10" s="761"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A48:E48"/>
    <mergeCell ref="C50:F50"/>
    <mergeCell ref="C51:F51"/>
    <mergeCell ref="C52:F52"/>
    <mergeCell ref="B42:E42"/>
    <mergeCell ref="A43:F43"/>
    <mergeCell ref="A44:D44"/>
    <mergeCell ref="A45:D45"/>
    <mergeCell ref="A46:E46"/>
    <mergeCell ref="A47:E47"/>
    <mergeCell ref="C41:D41"/>
    <mergeCell ref="C30:D30"/>
    <mergeCell ref="C31:D31"/>
    <mergeCell ref="C32:D32"/>
    <mergeCell ref="B33:E33"/>
    <mergeCell ref="A34:F34"/>
    <mergeCell ref="B35:F35"/>
    <mergeCell ref="C36:D36"/>
    <mergeCell ref="C37:D37"/>
    <mergeCell ref="C38:D38"/>
    <mergeCell ref="C39:D39"/>
    <mergeCell ref="C40:D40"/>
    <mergeCell ref="C29:D29"/>
    <mergeCell ref="A1:F2"/>
    <mergeCell ref="E3:F3"/>
    <mergeCell ref="A4:F4"/>
    <mergeCell ref="A7:F7"/>
    <mergeCell ref="A11:F11"/>
    <mergeCell ref="B12:F12"/>
    <mergeCell ref="B24:E24"/>
    <mergeCell ref="A25:F25"/>
    <mergeCell ref="B26:F26"/>
    <mergeCell ref="C27:D27"/>
    <mergeCell ref="C28:D28"/>
  </mergeCells>
  <pageMargins left="0.7" right="0.7" top="0.75" bottom="0.75" header="0.3" footer="0.3"/>
  <pageSetup paperSize="14" scale="79"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0CAB2-C7EB-4B01-AD34-9FF9A11C518C}">
  <sheetPr codeName="Sheet13"/>
  <dimension ref="A1:F52"/>
  <sheetViews>
    <sheetView view="pageBreakPreview" zoomScale="90" zoomScaleNormal="100" zoomScaleSheetLayoutView="90" workbookViewId="0">
      <selection activeCell="A9" sqref="A9:D10"/>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5</v>
      </c>
      <c r="B9" s="753" t="s">
        <v>398</v>
      </c>
      <c r="C9" s="696"/>
      <c r="D9" s="696"/>
      <c r="E9" s="696"/>
      <c r="F9" s="696"/>
    </row>
    <row r="10" spans="1:6" ht="17" x14ac:dyDescent="0.15">
      <c r="A10" s="769">
        <v>5.8</v>
      </c>
      <c r="B10" s="768" t="s">
        <v>1586</v>
      </c>
      <c r="C10" s="696">
        <v>1</v>
      </c>
      <c r="D10" s="761"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709"/>
      <c r="C37" s="831"/>
      <c r="D37" s="831"/>
      <c r="E37" s="696"/>
      <c r="F37" s="696"/>
    </row>
    <row r="38" spans="1:6" ht="16" x14ac:dyDescent="0.15">
      <c r="A38" s="709">
        <v>2</v>
      </c>
      <c r="B38" s="709"/>
      <c r="C38" s="831"/>
      <c r="D38" s="831"/>
      <c r="E38" s="696"/>
      <c r="F38" s="696"/>
    </row>
    <row r="39" spans="1:6" ht="16" x14ac:dyDescent="0.15">
      <c r="A39" s="709">
        <v>3</v>
      </c>
      <c r="B39" s="709"/>
      <c r="C39" s="831"/>
      <c r="D39" s="831"/>
      <c r="E39" s="696"/>
      <c r="F39" s="696"/>
    </row>
    <row r="40" spans="1:6" ht="16" x14ac:dyDescent="0.15">
      <c r="A40" s="709">
        <v>4</v>
      </c>
      <c r="B40" s="709"/>
      <c r="C40" s="831"/>
      <c r="D40" s="831"/>
      <c r="E40" s="696"/>
      <c r="F40" s="696"/>
    </row>
    <row r="41" spans="1:6" ht="16" x14ac:dyDescent="0.15">
      <c r="A41" s="709">
        <v>5</v>
      </c>
      <c r="B41" s="709"/>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A48:E48"/>
    <mergeCell ref="C50:F50"/>
    <mergeCell ref="C51:F51"/>
    <mergeCell ref="C52:F52"/>
    <mergeCell ref="B42:E42"/>
    <mergeCell ref="A43:F43"/>
    <mergeCell ref="A44:D44"/>
    <mergeCell ref="A45:D45"/>
    <mergeCell ref="A46:E46"/>
    <mergeCell ref="A47:E47"/>
    <mergeCell ref="C41:D41"/>
    <mergeCell ref="C30:D30"/>
    <mergeCell ref="C31:D31"/>
    <mergeCell ref="C32:D32"/>
    <mergeCell ref="B33:E33"/>
    <mergeCell ref="A34:F34"/>
    <mergeCell ref="B35:F35"/>
    <mergeCell ref="C36:D36"/>
    <mergeCell ref="C37:D37"/>
    <mergeCell ref="C38:D38"/>
    <mergeCell ref="C39:D39"/>
    <mergeCell ref="C40:D40"/>
    <mergeCell ref="C29:D29"/>
    <mergeCell ref="A1:F2"/>
    <mergeCell ref="E3:F3"/>
    <mergeCell ref="A4:F4"/>
    <mergeCell ref="A7:F7"/>
    <mergeCell ref="A11:F11"/>
    <mergeCell ref="B12:F12"/>
    <mergeCell ref="B24:E24"/>
    <mergeCell ref="A25:F25"/>
    <mergeCell ref="B26:F26"/>
    <mergeCell ref="C27:D27"/>
    <mergeCell ref="C28:D28"/>
  </mergeCells>
  <pageMargins left="0.7" right="0.7" top="0.75" bottom="0.75" header="0.3" footer="0.3"/>
  <pageSetup paperSize="14" scale="79"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DEC2D-0D13-46FC-A359-A8365062FEB0}">
  <sheetPr codeName="Sheet14"/>
  <dimension ref="A1:F52"/>
  <sheetViews>
    <sheetView view="pageBreakPreview" zoomScale="90" zoomScaleNormal="100" zoomScaleSheetLayoutView="90" workbookViewId="0">
      <selection activeCell="A9" sqref="A9:D10"/>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5</v>
      </c>
      <c r="B9" s="753" t="s">
        <v>398</v>
      </c>
      <c r="C9" s="696"/>
      <c r="D9" s="696"/>
      <c r="E9" s="696"/>
      <c r="F9" s="696"/>
    </row>
    <row r="10" spans="1:6" ht="17" x14ac:dyDescent="0.15">
      <c r="A10" s="769">
        <v>5.7</v>
      </c>
      <c r="B10" s="768" t="s">
        <v>473</v>
      </c>
      <c r="C10" s="696">
        <v>1</v>
      </c>
      <c r="D10" s="761"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EC785-BBD5-4C20-801D-EA70A18321A7}">
  <sheetPr codeName="Sheet15"/>
  <dimension ref="A1:F52"/>
  <sheetViews>
    <sheetView view="pageBreakPreview" zoomScale="90" zoomScaleNormal="100" zoomScaleSheetLayoutView="90" workbookViewId="0">
      <selection activeCell="A9" sqref="A9:D10"/>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5</v>
      </c>
      <c r="B9" s="753" t="s">
        <v>398</v>
      </c>
      <c r="C9" s="696"/>
      <c r="D9" s="696"/>
      <c r="E9" s="696"/>
      <c r="F9" s="696"/>
    </row>
    <row r="10" spans="1:6" ht="17" x14ac:dyDescent="0.15">
      <c r="A10" s="769">
        <v>5.6</v>
      </c>
      <c r="B10" s="768" t="s">
        <v>1584</v>
      </c>
      <c r="C10" s="696">
        <v>1</v>
      </c>
      <c r="D10" s="761"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62091-80D8-4497-99DE-C9B06EB83EF4}">
  <sheetPr codeName="Sheet2"/>
  <dimension ref="A1:Q316"/>
  <sheetViews>
    <sheetView zoomScale="70" zoomScaleNormal="70" workbookViewId="0">
      <selection activeCell="Q16" sqref="Q15:Q16"/>
    </sheetView>
  </sheetViews>
  <sheetFormatPr baseColWidth="10" defaultColWidth="9.1640625" defaultRowHeight="15" x14ac:dyDescent="0.2"/>
  <cols>
    <col min="1" max="1" width="9.5" style="435" customWidth="1"/>
    <col min="2" max="2" width="58.1640625" style="436" customWidth="1"/>
    <col min="3" max="3" width="10.6640625" style="437" customWidth="1"/>
    <col min="4" max="4" width="9.1640625" style="438"/>
    <col min="5" max="5" width="10.6640625" style="437" customWidth="1"/>
    <col min="6" max="6" width="9.1640625" style="438"/>
    <col min="7" max="8" width="16.6640625" customWidth="1"/>
    <col min="9" max="9" width="16.6640625" style="439" customWidth="1"/>
    <col min="10" max="10" width="14.6640625" style="439" customWidth="1"/>
    <col min="11" max="11" width="16.6640625" style="439" customWidth="1"/>
    <col min="12" max="12" width="14.6640625" customWidth="1"/>
  </cols>
  <sheetData>
    <row r="1" spans="1:12" ht="13" x14ac:dyDescent="0.15">
      <c r="A1" s="781" t="s">
        <v>1417</v>
      </c>
      <c r="B1" s="781"/>
      <c r="C1" s="781"/>
      <c r="D1" s="781"/>
      <c r="E1" s="781"/>
      <c r="F1" s="781"/>
      <c r="G1" s="781"/>
      <c r="H1" s="781"/>
      <c r="I1" s="781"/>
      <c r="J1" s="781"/>
      <c r="K1" s="781"/>
      <c r="L1" s="781"/>
    </row>
    <row r="2" spans="1:12" ht="13" x14ac:dyDescent="0.15">
      <c r="A2" s="781"/>
      <c r="B2" s="781"/>
      <c r="C2" s="781"/>
      <c r="D2" s="781"/>
      <c r="E2" s="781"/>
      <c r="F2" s="781"/>
      <c r="G2" s="781"/>
      <c r="H2" s="781"/>
      <c r="I2" s="781"/>
      <c r="J2" s="781"/>
      <c r="K2" s="781"/>
      <c r="L2" s="781"/>
    </row>
    <row r="3" spans="1:12" ht="13" x14ac:dyDescent="0.15">
      <c r="A3" s="781"/>
      <c r="B3" s="781"/>
      <c r="C3" s="781"/>
      <c r="D3" s="781"/>
      <c r="E3" s="781"/>
      <c r="F3" s="781"/>
      <c r="G3" s="781"/>
      <c r="H3" s="781"/>
      <c r="I3" s="781"/>
      <c r="J3" s="781"/>
      <c r="K3" s="781"/>
      <c r="L3" s="781"/>
    </row>
    <row r="4" spans="1:12" ht="15" customHeight="1" x14ac:dyDescent="0.25">
      <c r="A4" s="433"/>
      <c r="B4" s="433"/>
      <c r="C4" s="433"/>
      <c r="D4" s="433"/>
      <c r="E4" s="433"/>
      <c r="F4" s="433"/>
      <c r="G4" s="433"/>
      <c r="H4" s="433"/>
      <c r="I4" s="433"/>
      <c r="J4" s="433"/>
      <c r="K4" s="434" t="s">
        <v>1418</v>
      </c>
      <c r="L4" s="433"/>
    </row>
    <row r="6" spans="1:12" ht="16" x14ac:dyDescent="0.2">
      <c r="A6" s="440" t="s">
        <v>1419</v>
      </c>
    </row>
    <row r="7" spans="1:12" ht="16" x14ac:dyDescent="0.2">
      <c r="A7" s="440" t="s">
        <v>1420</v>
      </c>
    </row>
    <row r="8" spans="1:12" x14ac:dyDescent="0.2">
      <c r="A8" s="441"/>
    </row>
    <row r="9" spans="1:12" ht="19" x14ac:dyDescent="0.25">
      <c r="A9" s="782" t="s">
        <v>1421</v>
      </c>
      <c r="B9" s="782"/>
      <c r="C9" s="782"/>
      <c r="D9" s="782"/>
      <c r="E9" s="782"/>
      <c r="F9" s="782"/>
      <c r="G9" s="782"/>
      <c r="H9" s="782"/>
      <c r="I9" s="782"/>
      <c r="J9" s="782"/>
      <c r="K9" s="782"/>
      <c r="L9" s="782"/>
    </row>
    <row r="10" spans="1:12" ht="15" customHeight="1" x14ac:dyDescent="0.15">
      <c r="A10" s="783" t="s">
        <v>1422</v>
      </c>
      <c r="B10" s="783" t="s">
        <v>1423</v>
      </c>
      <c r="C10" s="786" t="s">
        <v>1424</v>
      </c>
      <c r="D10" s="787"/>
      <c r="E10" s="790" t="s">
        <v>1425</v>
      </c>
      <c r="F10" s="791"/>
      <c r="G10" s="794" t="s">
        <v>1426</v>
      </c>
      <c r="H10" s="795" t="s">
        <v>1427</v>
      </c>
      <c r="I10" s="796" t="s">
        <v>1428</v>
      </c>
      <c r="J10" s="799" t="s">
        <v>1429</v>
      </c>
      <c r="K10" s="805" t="s">
        <v>1430</v>
      </c>
      <c r="L10" s="796" t="s">
        <v>1431</v>
      </c>
    </row>
    <row r="11" spans="1:12" ht="15" customHeight="1" x14ac:dyDescent="0.15">
      <c r="A11" s="784"/>
      <c r="B11" s="784"/>
      <c r="C11" s="788"/>
      <c r="D11" s="789"/>
      <c r="E11" s="792"/>
      <c r="F11" s="793"/>
      <c r="G11" s="794"/>
      <c r="H11" s="795"/>
      <c r="I11" s="797"/>
      <c r="J11" s="800"/>
      <c r="K11" s="806"/>
      <c r="L11" s="797"/>
    </row>
    <row r="12" spans="1:12" ht="15" customHeight="1" x14ac:dyDescent="0.15">
      <c r="A12" s="784"/>
      <c r="B12" s="784"/>
      <c r="C12" s="808" t="s">
        <v>1432</v>
      </c>
      <c r="D12" s="811" t="s">
        <v>104</v>
      </c>
      <c r="E12" s="814" t="s">
        <v>1432</v>
      </c>
      <c r="F12" s="816" t="s">
        <v>104</v>
      </c>
      <c r="G12" s="818" t="s">
        <v>1433</v>
      </c>
      <c r="H12" s="820" t="s">
        <v>1434</v>
      </c>
      <c r="I12" s="797"/>
      <c r="J12" s="800"/>
      <c r="K12" s="806"/>
      <c r="L12" s="797"/>
    </row>
    <row r="13" spans="1:12" ht="29.25" customHeight="1" x14ac:dyDescent="0.15">
      <c r="A13" s="785"/>
      <c r="B13" s="785"/>
      <c r="C13" s="809"/>
      <c r="D13" s="812"/>
      <c r="E13" s="815"/>
      <c r="F13" s="817"/>
      <c r="G13" s="819"/>
      <c r="H13" s="821"/>
      <c r="I13" s="798"/>
      <c r="J13" s="801"/>
      <c r="K13" s="807"/>
      <c r="L13" s="798"/>
    </row>
    <row r="14" spans="1:12" ht="16" x14ac:dyDescent="0.15">
      <c r="A14" s="442" t="s">
        <v>1435</v>
      </c>
      <c r="B14" s="442" t="s">
        <v>1436</v>
      </c>
      <c r="C14" s="810"/>
      <c r="D14" s="813"/>
      <c r="E14" s="442" t="s">
        <v>1437</v>
      </c>
      <c r="F14" s="442" t="s">
        <v>1438</v>
      </c>
      <c r="G14" s="443" t="s">
        <v>1439</v>
      </c>
      <c r="H14" s="443" t="s">
        <v>1440</v>
      </c>
      <c r="I14" s="443" t="s">
        <v>1441</v>
      </c>
      <c r="J14" s="443" t="s">
        <v>1442</v>
      </c>
      <c r="K14" s="443" t="s">
        <v>1443</v>
      </c>
      <c r="L14" s="443" t="s">
        <v>1444</v>
      </c>
    </row>
    <row r="15" spans="1:12" x14ac:dyDescent="0.2">
      <c r="A15" s="444">
        <v>1</v>
      </c>
      <c r="B15" s="445" t="s">
        <v>408</v>
      </c>
      <c r="C15" s="446"/>
      <c r="D15" s="446"/>
      <c r="E15" s="446"/>
      <c r="F15" s="446"/>
      <c r="G15" s="446"/>
      <c r="H15" s="446"/>
      <c r="I15" s="446"/>
      <c r="J15" s="446"/>
      <c r="K15" s="446"/>
      <c r="L15" s="447"/>
    </row>
    <row r="16" spans="1:12" ht="16" x14ac:dyDescent="0.15">
      <c r="A16" s="448">
        <v>1.1000000000000001</v>
      </c>
      <c r="B16" s="449" t="s">
        <v>388</v>
      </c>
      <c r="C16" s="450"/>
      <c r="D16" s="451"/>
      <c r="E16" s="499">
        <v>1</v>
      </c>
      <c r="F16" s="452" t="s">
        <v>5</v>
      </c>
      <c r="G16" s="453"/>
      <c r="H16" s="453"/>
      <c r="I16" s="454"/>
      <c r="J16" s="454"/>
      <c r="K16" s="454"/>
      <c r="L16" s="454"/>
    </row>
    <row r="17" spans="1:12" ht="16" x14ac:dyDescent="0.15">
      <c r="A17" s="448">
        <v>1.2000000000000002</v>
      </c>
      <c r="B17" s="449" t="s">
        <v>901</v>
      </c>
      <c r="C17" s="450"/>
      <c r="D17" s="451"/>
      <c r="E17" s="500">
        <v>1</v>
      </c>
      <c r="F17" s="455" t="s">
        <v>5</v>
      </c>
      <c r="G17" s="453"/>
      <c r="H17" s="453"/>
      <c r="I17" s="454"/>
      <c r="J17" s="454"/>
      <c r="K17" s="454"/>
      <c r="L17" s="454"/>
    </row>
    <row r="18" spans="1:12" ht="16" x14ac:dyDescent="0.15">
      <c r="A18" s="448">
        <v>1.3</v>
      </c>
      <c r="B18" s="449" t="s">
        <v>390</v>
      </c>
      <c r="C18" s="450"/>
      <c r="D18" s="451"/>
      <c r="E18" s="500">
        <v>1</v>
      </c>
      <c r="F18" s="455" t="s">
        <v>5</v>
      </c>
      <c r="G18" s="453"/>
      <c r="H18" s="453"/>
      <c r="I18" s="454"/>
      <c r="J18" s="454"/>
      <c r="K18" s="454"/>
      <c r="L18" s="454"/>
    </row>
    <row r="19" spans="1:12" x14ac:dyDescent="0.2">
      <c r="A19" s="456"/>
      <c r="B19" s="802" t="s">
        <v>1449</v>
      </c>
      <c r="C19" s="803"/>
      <c r="D19" s="803"/>
      <c r="E19" s="803"/>
      <c r="F19" s="803"/>
      <c r="G19" s="803"/>
      <c r="H19" s="803"/>
      <c r="I19" s="803"/>
      <c r="J19" s="804"/>
      <c r="K19" s="457"/>
      <c r="L19" s="458"/>
    </row>
    <row r="20" spans="1:12" ht="15.75" customHeight="1" x14ac:dyDescent="0.2">
      <c r="A20" s="459">
        <v>2</v>
      </c>
      <c r="B20" s="445" t="s">
        <v>707</v>
      </c>
      <c r="C20" s="446"/>
      <c r="D20" s="446"/>
      <c r="E20" s="446"/>
      <c r="F20" s="446"/>
      <c r="G20" s="446"/>
      <c r="H20" s="446"/>
      <c r="I20" s="446"/>
      <c r="J20" s="446"/>
      <c r="K20" s="446"/>
      <c r="L20" s="447"/>
    </row>
    <row r="21" spans="1:12" ht="78.75" customHeight="1" x14ac:dyDescent="0.15">
      <c r="A21" s="448">
        <v>2.1</v>
      </c>
      <c r="B21" s="449" t="s">
        <v>1198</v>
      </c>
      <c r="C21" s="460"/>
      <c r="D21" s="461"/>
      <c r="E21" s="499">
        <v>1</v>
      </c>
      <c r="F21" s="452" t="s">
        <v>5</v>
      </c>
      <c r="G21" s="453"/>
      <c r="H21" s="453"/>
      <c r="I21" s="454"/>
      <c r="J21" s="454"/>
      <c r="K21" s="454"/>
      <c r="L21" s="454"/>
    </row>
    <row r="22" spans="1:12" ht="30" customHeight="1" x14ac:dyDescent="0.15">
      <c r="A22" s="448">
        <v>2.2000000000000002</v>
      </c>
      <c r="B22" s="449" t="s">
        <v>988</v>
      </c>
      <c r="C22" s="460"/>
      <c r="D22" s="461"/>
      <c r="E22" s="499">
        <v>1</v>
      </c>
      <c r="F22" s="452" t="s">
        <v>5</v>
      </c>
      <c r="G22" s="453"/>
      <c r="H22" s="453"/>
      <c r="I22" s="454"/>
      <c r="J22" s="454"/>
      <c r="K22" s="454"/>
      <c r="L22" s="454"/>
    </row>
    <row r="23" spans="1:12" ht="16" x14ac:dyDescent="0.15">
      <c r="A23" s="448">
        <v>2.3000000000000003</v>
      </c>
      <c r="B23" s="449" t="s">
        <v>1490</v>
      </c>
      <c r="C23" s="460"/>
      <c r="D23" s="461"/>
      <c r="E23" s="499">
        <v>1</v>
      </c>
      <c r="F23" s="452" t="s">
        <v>5</v>
      </c>
      <c r="G23" s="453"/>
      <c r="H23" s="453"/>
      <c r="I23" s="454"/>
      <c r="J23" s="454"/>
      <c r="K23" s="454"/>
      <c r="L23" s="454"/>
    </row>
    <row r="24" spans="1:12" ht="15.75" customHeight="1" x14ac:dyDescent="0.15">
      <c r="A24" s="448">
        <v>2.4</v>
      </c>
      <c r="B24" s="449" t="s">
        <v>1489</v>
      </c>
      <c r="C24" s="460"/>
      <c r="D24" s="461"/>
      <c r="E24" s="499">
        <v>1</v>
      </c>
      <c r="F24" s="452" t="s">
        <v>5</v>
      </c>
      <c r="G24" s="453"/>
      <c r="H24" s="453"/>
      <c r="I24" s="454"/>
      <c r="J24" s="454"/>
      <c r="K24" s="454"/>
      <c r="L24" s="454"/>
    </row>
    <row r="25" spans="1:12" x14ac:dyDescent="0.2">
      <c r="A25" s="456"/>
      <c r="B25" s="802" t="s">
        <v>1449</v>
      </c>
      <c r="C25" s="803"/>
      <c r="D25" s="803"/>
      <c r="E25" s="803"/>
      <c r="F25" s="803"/>
      <c r="G25" s="803"/>
      <c r="H25" s="803"/>
      <c r="I25" s="803"/>
      <c r="J25" s="804"/>
      <c r="K25" s="457"/>
      <c r="L25" s="458"/>
    </row>
    <row r="26" spans="1:12" x14ac:dyDescent="0.2">
      <c r="A26" s="459">
        <v>3</v>
      </c>
      <c r="B26" s="445" t="s">
        <v>411</v>
      </c>
      <c r="C26" s="446"/>
      <c r="D26" s="446"/>
      <c r="E26" s="446"/>
      <c r="F26" s="446"/>
      <c r="G26" s="446"/>
      <c r="H26" s="446"/>
      <c r="I26" s="446"/>
      <c r="J26" s="446"/>
      <c r="K26" s="446"/>
      <c r="L26" s="447"/>
    </row>
    <row r="27" spans="1:12" ht="16" customHeight="1" x14ac:dyDescent="0.2">
      <c r="A27" s="448">
        <v>3.1</v>
      </c>
      <c r="B27" s="462" t="s">
        <v>922</v>
      </c>
      <c r="C27" s="463"/>
      <c r="D27" s="464"/>
      <c r="E27" s="465">
        <v>5.7</v>
      </c>
      <c r="F27" s="466" t="s">
        <v>637</v>
      </c>
      <c r="G27" s="467"/>
      <c r="H27" s="467"/>
      <c r="I27" s="467"/>
      <c r="J27" s="467"/>
      <c r="K27" s="467"/>
      <c r="L27" s="467"/>
    </row>
    <row r="28" spans="1:12" ht="16" x14ac:dyDescent="0.2">
      <c r="A28" s="448">
        <v>3.2</v>
      </c>
      <c r="B28" s="462" t="s">
        <v>923</v>
      </c>
      <c r="C28" s="463"/>
      <c r="D28" s="464"/>
      <c r="E28" s="465">
        <v>4.4000000000000004</v>
      </c>
      <c r="F28" s="466" t="s">
        <v>637</v>
      </c>
      <c r="G28" s="467"/>
      <c r="H28" s="467"/>
      <c r="I28" s="467"/>
      <c r="J28" s="467"/>
      <c r="K28" s="467"/>
      <c r="L28" s="467"/>
    </row>
    <row r="29" spans="1:12" ht="16" x14ac:dyDescent="0.2">
      <c r="A29" s="448">
        <v>3.3</v>
      </c>
      <c r="B29" s="449" t="s">
        <v>1140</v>
      </c>
      <c r="C29" s="463"/>
      <c r="D29" s="464"/>
      <c r="E29" s="468">
        <v>5.56</v>
      </c>
      <c r="F29" s="466" t="s">
        <v>637</v>
      </c>
      <c r="G29" s="469"/>
      <c r="H29" s="469"/>
      <c r="I29" s="469"/>
      <c r="J29" s="469"/>
      <c r="K29" s="469"/>
      <c r="L29" s="469"/>
    </row>
    <row r="30" spans="1:12" ht="16" x14ac:dyDescent="0.2">
      <c r="A30" s="448">
        <v>3.4</v>
      </c>
      <c r="B30" s="449" t="s">
        <v>1295</v>
      </c>
      <c r="C30" s="463"/>
      <c r="D30" s="464"/>
      <c r="E30" s="468">
        <v>31.47</v>
      </c>
      <c r="F30" s="466" t="s">
        <v>637</v>
      </c>
      <c r="G30" s="469"/>
      <c r="H30" s="469"/>
      <c r="I30" s="469"/>
      <c r="J30" s="469"/>
      <c r="K30" s="469"/>
      <c r="L30" s="469"/>
    </row>
    <row r="31" spans="1:12" ht="16" x14ac:dyDescent="0.2">
      <c r="A31" s="448">
        <v>3.5</v>
      </c>
      <c r="B31" s="449" t="s">
        <v>309</v>
      </c>
      <c r="C31" s="463"/>
      <c r="D31" s="464"/>
      <c r="E31" s="468">
        <v>11.411400000000002</v>
      </c>
      <c r="F31" s="466" t="s">
        <v>637</v>
      </c>
      <c r="G31" s="469"/>
      <c r="H31" s="469"/>
      <c r="I31" s="469"/>
      <c r="J31" s="469"/>
      <c r="K31" s="469"/>
      <c r="L31" s="469"/>
    </row>
    <row r="32" spans="1:12" ht="16" x14ac:dyDescent="0.2">
      <c r="A32" s="448">
        <v>3.6</v>
      </c>
      <c r="B32" s="449" t="s">
        <v>927</v>
      </c>
      <c r="C32" s="463"/>
      <c r="D32" s="464"/>
      <c r="E32" s="468">
        <v>4.4330000000000007</v>
      </c>
      <c r="F32" s="466" t="s">
        <v>637</v>
      </c>
      <c r="G32" s="469"/>
      <c r="H32" s="469"/>
      <c r="I32" s="469"/>
      <c r="J32" s="469"/>
      <c r="K32" s="469"/>
      <c r="L32" s="469"/>
    </row>
    <row r="33" spans="1:17" ht="16" x14ac:dyDescent="0.2">
      <c r="A33" s="448">
        <v>3.7</v>
      </c>
      <c r="B33" s="449" t="s">
        <v>1134</v>
      </c>
      <c r="C33" s="463"/>
      <c r="D33" s="464"/>
      <c r="E33" s="468">
        <v>2.4387000000000003</v>
      </c>
      <c r="F33" s="466" t="s">
        <v>637</v>
      </c>
      <c r="G33" s="469"/>
      <c r="H33" s="469"/>
      <c r="I33" s="469"/>
      <c r="J33" s="469"/>
      <c r="K33" s="469"/>
      <c r="L33" s="469"/>
    </row>
    <row r="34" spans="1:17" x14ac:dyDescent="0.2">
      <c r="A34" s="470"/>
      <c r="B34" s="802" t="s">
        <v>1449</v>
      </c>
      <c r="C34" s="803"/>
      <c r="D34" s="803"/>
      <c r="E34" s="803"/>
      <c r="F34" s="803"/>
      <c r="G34" s="803"/>
      <c r="H34" s="803"/>
      <c r="I34" s="803"/>
      <c r="J34" s="804"/>
      <c r="K34" s="467"/>
      <c r="L34" s="471"/>
    </row>
    <row r="35" spans="1:17" x14ac:dyDescent="0.2">
      <c r="A35" s="459">
        <v>4</v>
      </c>
      <c r="B35" s="445" t="s">
        <v>1154</v>
      </c>
      <c r="C35" s="446"/>
      <c r="D35" s="446"/>
      <c r="E35" s="446"/>
      <c r="F35" s="446"/>
      <c r="G35" s="446"/>
      <c r="H35" s="446"/>
      <c r="I35" s="446"/>
      <c r="J35" s="446"/>
      <c r="K35" s="446"/>
      <c r="L35" s="447"/>
    </row>
    <row r="36" spans="1:17" ht="16" x14ac:dyDescent="0.2">
      <c r="A36" s="501">
        <v>4.0999999999999996</v>
      </c>
      <c r="B36" s="494" t="s">
        <v>894</v>
      </c>
      <c r="C36" s="463"/>
      <c r="D36" s="464"/>
      <c r="E36" s="499">
        <v>1</v>
      </c>
      <c r="F36" s="452" t="s">
        <v>5</v>
      </c>
      <c r="G36" s="469"/>
      <c r="H36" s="469"/>
      <c r="I36" s="469"/>
      <c r="J36" s="469"/>
      <c r="K36" s="469"/>
      <c r="L36" s="469"/>
    </row>
    <row r="37" spans="1:17" ht="32" x14ac:dyDescent="0.15">
      <c r="A37" s="448" t="s">
        <v>1117</v>
      </c>
      <c r="B37" s="486" t="s">
        <v>1153</v>
      </c>
      <c r="C37" s="499">
        <v>858.95700000000011</v>
      </c>
      <c r="D37" s="487" t="s">
        <v>892</v>
      </c>
      <c r="E37" s="488"/>
      <c r="F37" s="489"/>
      <c r="G37" s="489"/>
      <c r="H37" s="489"/>
      <c r="I37" s="489"/>
      <c r="J37" s="489"/>
      <c r="K37" s="489"/>
      <c r="L37" s="490"/>
    </row>
    <row r="38" spans="1:17" ht="33.75" customHeight="1" x14ac:dyDescent="0.15">
      <c r="A38" s="448" t="s">
        <v>1118</v>
      </c>
      <c r="B38" s="486" t="s">
        <v>1192</v>
      </c>
      <c r="C38" s="499">
        <v>21.972500000000004</v>
      </c>
      <c r="D38" s="487" t="s">
        <v>892</v>
      </c>
      <c r="E38" s="488"/>
      <c r="F38" s="489"/>
      <c r="G38" s="489"/>
      <c r="H38" s="489"/>
      <c r="I38" s="489"/>
      <c r="J38" s="489"/>
      <c r="K38" s="489"/>
      <c r="L38" s="490"/>
    </row>
    <row r="39" spans="1:17" x14ac:dyDescent="0.2">
      <c r="A39" s="470"/>
      <c r="B39" s="802" t="s">
        <v>1449</v>
      </c>
      <c r="C39" s="803"/>
      <c r="D39" s="803"/>
      <c r="E39" s="803"/>
      <c r="F39" s="803"/>
      <c r="G39" s="803"/>
      <c r="H39" s="803"/>
      <c r="I39" s="803"/>
      <c r="J39" s="804"/>
      <c r="K39" s="467"/>
      <c r="L39" s="471"/>
    </row>
    <row r="40" spans="1:17" ht="16" x14ac:dyDescent="0.2">
      <c r="A40" s="501">
        <v>4.2</v>
      </c>
      <c r="B40" s="494" t="s">
        <v>895</v>
      </c>
      <c r="C40" s="463"/>
      <c r="D40" s="464"/>
      <c r="E40" s="499">
        <v>1</v>
      </c>
      <c r="F40" s="452" t="s">
        <v>5</v>
      </c>
      <c r="G40" s="469"/>
      <c r="H40" s="469"/>
      <c r="I40" s="469"/>
      <c r="J40" s="469"/>
      <c r="K40" s="469"/>
      <c r="L40" s="469"/>
    </row>
    <row r="41" spans="1:17" ht="32" x14ac:dyDescent="0.15">
      <c r="A41" s="448" t="s">
        <v>1119</v>
      </c>
      <c r="B41" s="486" t="s">
        <v>1155</v>
      </c>
      <c r="C41" s="499">
        <v>1761.8590000000002</v>
      </c>
      <c r="D41" s="487" t="s">
        <v>892</v>
      </c>
      <c r="E41" s="488"/>
      <c r="F41" s="489"/>
      <c r="G41" s="489"/>
      <c r="H41" s="489"/>
      <c r="I41" s="489"/>
      <c r="J41" s="489"/>
      <c r="K41" s="489"/>
      <c r="L41" s="490"/>
    </row>
    <row r="42" spans="1:17" x14ac:dyDescent="0.2">
      <c r="A42" s="470"/>
      <c r="B42" s="802" t="s">
        <v>1449</v>
      </c>
      <c r="C42" s="803"/>
      <c r="D42" s="803"/>
      <c r="E42" s="803"/>
      <c r="F42" s="803"/>
      <c r="G42" s="803"/>
      <c r="H42" s="803"/>
      <c r="I42" s="803"/>
      <c r="J42" s="804"/>
      <c r="K42" s="467"/>
      <c r="L42" s="471"/>
    </row>
    <row r="43" spans="1:17" ht="16" x14ac:dyDescent="0.2">
      <c r="A43" s="501">
        <v>4.3</v>
      </c>
      <c r="B43" s="494" t="s">
        <v>743</v>
      </c>
      <c r="C43" s="463"/>
      <c r="D43" s="464"/>
      <c r="E43" s="499">
        <v>1</v>
      </c>
      <c r="F43" s="452" t="s">
        <v>5</v>
      </c>
      <c r="G43" s="469"/>
      <c r="H43" s="469"/>
      <c r="I43" s="469"/>
      <c r="J43" s="469"/>
      <c r="K43" s="469"/>
      <c r="L43" s="469"/>
    </row>
    <row r="44" spans="1:17" ht="32" x14ac:dyDescent="0.15">
      <c r="A44" s="448" t="s">
        <v>1141</v>
      </c>
      <c r="B44" s="486" t="s">
        <v>1184</v>
      </c>
      <c r="C44" s="499">
        <v>85.635000000000005</v>
      </c>
      <c r="D44" s="487" t="s">
        <v>892</v>
      </c>
      <c r="E44" s="488"/>
      <c r="F44" s="489"/>
      <c r="G44" s="489"/>
      <c r="H44" s="489"/>
      <c r="I44" s="489"/>
      <c r="J44" s="489"/>
      <c r="K44" s="489"/>
      <c r="L44" s="490"/>
    </row>
    <row r="45" spans="1:17" ht="32" x14ac:dyDescent="0.15">
      <c r="A45" s="448" t="s">
        <v>1143</v>
      </c>
      <c r="B45" s="486" t="s">
        <v>1185</v>
      </c>
      <c r="C45" s="499">
        <v>25.85</v>
      </c>
      <c r="D45" s="487" t="s">
        <v>892</v>
      </c>
      <c r="E45" s="488"/>
      <c r="F45" s="489"/>
      <c r="G45" s="489"/>
      <c r="H45" s="489"/>
      <c r="I45" s="489"/>
      <c r="J45" s="489"/>
      <c r="K45" s="489"/>
      <c r="L45" s="490"/>
      <c r="Q45">
        <v>6</v>
      </c>
    </row>
    <row r="46" spans="1:17" ht="32" x14ac:dyDescent="0.15">
      <c r="A46" s="448" t="s">
        <v>1144</v>
      </c>
      <c r="B46" s="486" t="s">
        <v>1186</v>
      </c>
      <c r="C46" s="499">
        <v>27.610000000000003</v>
      </c>
      <c r="D46" s="487" t="s">
        <v>892</v>
      </c>
      <c r="E46" s="488"/>
      <c r="F46" s="489"/>
      <c r="G46" s="489"/>
      <c r="H46" s="489"/>
      <c r="I46" s="489"/>
      <c r="J46" s="489"/>
      <c r="K46" s="489"/>
      <c r="L46" s="490"/>
    </row>
    <row r="47" spans="1:17" ht="32" x14ac:dyDescent="0.15">
      <c r="A47" s="448" t="s">
        <v>1145</v>
      </c>
      <c r="B47" s="486" t="s">
        <v>1187</v>
      </c>
      <c r="C47" s="499">
        <v>30.525000000000002</v>
      </c>
      <c r="D47" s="487" t="s">
        <v>892</v>
      </c>
      <c r="E47" s="488"/>
      <c r="F47" s="489"/>
      <c r="G47" s="489"/>
      <c r="H47" s="489"/>
      <c r="I47" s="489"/>
      <c r="J47" s="489"/>
      <c r="K47" s="489"/>
      <c r="L47" s="490"/>
    </row>
    <row r="48" spans="1:17" ht="32" x14ac:dyDescent="0.15">
      <c r="A48" s="448" t="s">
        <v>1146</v>
      </c>
      <c r="B48" s="486" t="s">
        <v>1188</v>
      </c>
      <c r="C48" s="499">
        <v>64.175999999999988</v>
      </c>
      <c r="D48" s="487" t="s">
        <v>892</v>
      </c>
      <c r="E48" s="488"/>
      <c r="F48" s="489"/>
      <c r="G48" s="489"/>
      <c r="H48" s="489"/>
      <c r="I48" s="489"/>
      <c r="J48" s="489"/>
      <c r="K48" s="489"/>
      <c r="L48" s="490"/>
    </row>
    <row r="49" spans="1:12" x14ac:dyDescent="0.2">
      <c r="A49" s="470"/>
      <c r="B49" s="802" t="s">
        <v>1449</v>
      </c>
      <c r="C49" s="803"/>
      <c r="D49" s="803"/>
      <c r="E49" s="803"/>
      <c r="F49" s="803"/>
      <c r="G49" s="803"/>
      <c r="H49" s="803"/>
      <c r="I49" s="803"/>
      <c r="J49" s="804"/>
      <c r="K49" s="467"/>
      <c r="L49" s="471"/>
    </row>
    <row r="50" spans="1:12" ht="16" x14ac:dyDescent="0.2">
      <c r="A50" s="501">
        <v>4.4000000000000004</v>
      </c>
      <c r="B50" s="494" t="s">
        <v>118</v>
      </c>
      <c r="C50" s="463"/>
      <c r="D50" s="464"/>
      <c r="E50" s="499">
        <v>1</v>
      </c>
      <c r="F50" s="452" t="s">
        <v>5</v>
      </c>
      <c r="G50" s="469"/>
      <c r="H50" s="469"/>
      <c r="I50" s="469"/>
      <c r="J50" s="469"/>
      <c r="K50" s="469"/>
      <c r="L50" s="469"/>
    </row>
    <row r="51" spans="1:12" ht="32" x14ac:dyDescent="0.15">
      <c r="A51" s="448" t="s">
        <v>1147</v>
      </c>
      <c r="B51" s="486" t="s">
        <v>1121</v>
      </c>
      <c r="C51" s="499">
        <v>1513.66</v>
      </c>
      <c r="D51" s="487" t="s">
        <v>892</v>
      </c>
      <c r="E51" s="488"/>
      <c r="F51" s="489"/>
      <c r="G51" s="489"/>
      <c r="H51" s="489"/>
      <c r="I51" s="489"/>
      <c r="J51" s="489"/>
      <c r="K51" s="489"/>
      <c r="L51" s="490"/>
    </row>
    <row r="52" spans="1:12" ht="32" x14ac:dyDescent="0.15">
      <c r="A52" s="448" t="s">
        <v>1148</v>
      </c>
      <c r="B52" s="486" t="s">
        <v>1122</v>
      </c>
      <c r="C52" s="499">
        <v>115.47800000000001</v>
      </c>
      <c r="D52" s="487" t="s">
        <v>892</v>
      </c>
      <c r="E52" s="488"/>
      <c r="F52" s="489"/>
      <c r="G52" s="489"/>
      <c r="H52" s="489"/>
      <c r="I52" s="489"/>
      <c r="J52" s="489"/>
      <c r="K52" s="489"/>
      <c r="L52" s="490"/>
    </row>
    <row r="53" spans="1:12" ht="15.75" customHeight="1" x14ac:dyDescent="0.15">
      <c r="A53" s="448" t="s">
        <v>1149</v>
      </c>
      <c r="B53" s="486" t="s">
        <v>1123</v>
      </c>
      <c r="C53" s="499">
        <v>8</v>
      </c>
      <c r="D53" s="487" t="s">
        <v>892</v>
      </c>
      <c r="E53" s="488"/>
      <c r="F53" s="489"/>
      <c r="G53" s="489"/>
      <c r="H53" s="489"/>
      <c r="I53" s="489"/>
      <c r="J53" s="489"/>
      <c r="K53" s="489"/>
      <c r="L53" s="490"/>
    </row>
    <row r="54" spans="1:12" ht="16" customHeight="1" x14ac:dyDescent="0.15">
      <c r="A54" s="448" t="s">
        <v>1150</v>
      </c>
      <c r="B54" s="486" t="s">
        <v>978</v>
      </c>
      <c r="C54" s="499">
        <v>281.52300000000008</v>
      </c>
      <c r="D54" s="487" t="s">
        <v>892</v>
      </c>
      <c r="E54" s="488"/>
      <c r="F54" s="489"/>
      <c r="G54" s="489"/>
      <c r="H54" s="489"/>
      <c r="I54" s="489"/>
      <c r="J54" s="489"/>
      <c r="K54" s="489"/>
      <c r="L54" s="490"/>
    </row>
    <row r="55" spans="1:12" ht="17.25" customHeight="1" x14ac:dyDescent="0.2">
      <c r="A55" s="470"/>
      <c r="B55" s="802" t="s">
        <v>1449</v>
      </c>
      <c r="C55" s="803"/>
      <c r="D55" s="803"/>
      <c r="E55" s="803"/>
      <c r="F55" s="803"/>
      <c r="G55" s="803"/>
      <c r="H55" s="803"/>
      <c r="I55" s="803"/>
      <c r="J55" s="804"/>
      <c r="K55" s="467"/>
      <c r="L55" s="471"/>
    </row>
    <row r="56" spans="1:12" ht="16" x14ac:dyDescent="0.2">
      <c r="A56" s="501">
        <v>4.5</v>
      </c>
      <c r="B56" s="494" t="s">
        <v>1126</v>
      </c>
      <c r="C56" s="463"/>
      <c r="D56" s="464"/>
      <c r="E56" s="499">
        <v>1</v>
      </c>
      <c r="F56" s="452" t="s">
        <v>5</v>
      </c>
      <c r="G56" s="469"/>
      <c r="H56" s="469"/>
      <c r="I56" s="469"/>
      <c r="J56" s="469"/>
      <c r="K56" s="469"/>
      <c r="L56" s="469"/>
    </row>
    <row r="57" spans="1:12" ht="32" x14ac:dyDescent="0.15">
      <c r="A57" s="448" t="s">
        <v>1151</v>
      </c>
      <c r="B57" s="486" t="s">
        <v>1200</v>
      </c>
      <c r="C57" s="499">
        <v>84.590000000000018</v>
      </c>
      <c r="D57" s="487" t="s">
        <v>892</v>
      </c>
      <c r="E57" s="488"/>
      <c r="F57" s="489"/>
      <c r="G57" s="489"/>
      <c r="H57" s="489"/>
      <c r="I57" s="489"/>
      <c r="J57" s="489"/>
      <c r="K57" s="489"/>
      <c r="L57" s="490"/>
    </row>
    <row r="58" spans="1:12" ht="16" x14ac:dyDescent="0.15">
      <c r="A58" s="448" t="s">
        <v>1152</v>
      </c>
      <c r="B58" s="486" t="s">
        <v>1205</v>
      </c>
      <c r="C58" s="499">
        <v>186.64800000000002</v>
      </c>
      <c r="D58" s="487" t="s">
        <v>892</v>
      </c>
      <c r="E58" s="488"/>
      <c r="F58" s="489"/>
      <c r="G58" s="489"/>
      <c r="H58" s="489"/>
      <c r="I58" s="489"/>
      <c r="J58" s="489"/>
      <c r="K58" s="489"/>
      <c r="L58" s="490"/>
    </row>
    <row r="59" spans="1:12" ht="32" x14ac:dyDescent="0.15">
      <c r="A59" s="448" t="s">
        <v>1156</v>
      </c>
      <c r="B59" s="486" t="s">
        <v>1201</v>
      </c>
      <c r="C59" s="499">
        <v>34.012000000000008</v>
      </c>
      <c r="D59" s="487" t="s">
        <v>892</v>
      </c>
      <c r="E59" s="488"/>
      <c r="F59" s="489"/>
      <c r="G59" s="489"/>
      <c r="H59" s="489"/>
      <c r="I59" s="489"/>
      <c r="J59" s="489"/>
      <c r="K59" s="489"/>
      <c r="L59" s="490"/>
    </row>
    <row r="60" spans="1:12" x14ac:dyDescent="0.2">
      <c r="A60" s="470"/>
      <c r="B60" s="802" t="s">
        <v>1449</v>
      </c>
      <c r="C60" s="803"/>
      <c r="D60" s="803"/>
      <c r="E60" s="803"/>
      <c r="F60" s="803"/>
      <c r="G60" s="803"/>
      <c r="H60" s="803"/>
      <c r="I60" s="803"/>
      <c r="J60" s="804"/>
      <c r="K60" s="467"/>
      <c r="L60" s="471"/>
    </row>
    <row r="61" spans="1:12" ht="16" x14ac:dyDescent="0.2">
      <c r="A61" s="501">
        <v>4.5999999999999996</v>
      </c>
      <c r="B61" s="494" t="s">
        <v>1127</v>
      </c>
      <c r="C61" s="463"/>
      <c r="D61" s="464"/>
      <c r="E61" s="499">
        <v>1</v>
      </c>
      <c r="F61" s="452" t="s">
        <v>5</v>
      </c>
      <c r="G61" s="469"/>
      <c r="H61" s="469"/>
      <c r="I61" s="469"/>
      <c r="J61" s="469"/>
      <c r="K61" s="469"/>
      <c r="L61" s="469"/>
    </row>
    <row r="62" spans="1:12" ht="32" x14ac:dyDescent="0.15">
      <c r="A62" s="448" t="s">
        <v>1157</v>
      </c>
      <c r="B62" s="486" t="s">
        <v>1202</v>
      </c>
      <c r="C62" s="499">
        <v>7.7550000000000008</v>
      </c>
      <c r="D62" s="487" t="s">
        <v>892</v>
      </c>
      <c r="E62" s="488"/>
      <c r="F62" s="489"/>
      <c r="G62" s="489"/>
      <c r="H62" s="489"/>
      <c r="I62" s="489"/>
      <c r="J62" s="489"/>
      <c r="K62" s="489"/>
      <c r="L62" s="490"/>
    </row>
    <row r="63" spans="1:12" ht="32" x14ac:dyDescent="0.15">
      <c r="A63" s="448" t="s">
        <v>1158</v>
      </c>
      <c r="B63" s="486" t="s">
        <v>1203</v>
      </c>
      <c r="C63" s="499">
        <v>38.775000000000006</v>
      </c>
      <c r="D63" s="487" t="s">
        <v>892</v>
      </c>
      <c r="E63" s="488"/>
      <c r="F63" s="489"/>
      <c r="G63" s="489"/>
      <c r="H63" s="489"/>
      <c r="I63" s="489"/>
      <c r="J63" s="489"/>
      <c r="K63" s="489"/>
      <c r="L63" s="490"/>
    </row>
    <row r="64" spans="1:12" ht="16" x14ac:dyDescent="0.15">
      <c r="A64" s="448" t="s">
        <v>1189</v>
      </c>
      <c r="B64" s="486" t="s">
        <v>1204</v>
      </c>
      <c r="C64" s="499">
        <v>61.366799999999998</v>
      </c>
      <c r="D64" s="487" t="s">
        <v>892</v>
      </c>
      <c r="E64" s="488"/>
      <c r="F64" s="489"/>
      <c r="G64" s="489"/>
      <c r="H64" s="489"/>
      <c r="I64" s="489"/>
      <c r="J64" s="489"/>
      <c r="K64" s="489"/>
      <c r="L64" s="490"/>
    </row>
    <row r="65" spans="1:12" x14ac:dyDescent="0.2">
      <c r="A65" s="470"/>
      <c r="B65" s="802" t="s">
        <v>1449</v>
      </c>
      <c r="C65" s="803"/>
      <c r="D65" s="803"/>
      <c r="E65" s="803"/>
      <c r="F65" s="803"/>
      <c r="G65" s="803"/>
      <c r="H65" s="803"/>
      <c r="I65" s="803"/>
      <c r="J65" s="804"/>
      <c r="K65" s="467"/>
      <c r="L65" s="471"/>
    </row>
    <row r="66" spans="1:12" ht="16" x14ac:dyDescent="0.2">
      <c r="A66" s="501">
        <v>4.7</v>
      </c>
      <c r="B66" s="494" t="s">
        <v>1128</v>
      </c>
      <c r="C66" s="463"/>
      <c r="D66" s="464"/>
      <c r="E66" s="499">
        <v>1</v>
      </c>
      <c r="F66" s="452" t="s">
        <v>5</v>
      </c>
      <c r="G66" s="469"/>
      <c r="H66" s="469"/>
      <c r="I66" s="469"/>
      <c r="J66" s="469"/>
      <c r="K66" s="469"/>
      <c r="L66" s="469"/>
    </row>
    <row r="67" spans="1:12" ht="32" x14ac:dyDescent="0.15">
      <c r="A67" s="448" t="s">
        <v>1159</v>
      </c>
      <c r="B67" s="486" t="s">
        <v>1129</v>
      </c>
      <c r="C67" s="499">
        <v>101.28800000000001</v>
      </c>
      <c r="D67" s="487" t="s">
        <v>892</v>
      </c>
      <c r="E67" s="488"/>
      <c r="F67" s="489"/>
      <c r="G67" s="489"/>
      <c r="H67" s="489"/>
      <c r="I67" s="489"/>
      <c r="J67" s="489"/>
      <c r="K67" s="489"/>
      <c r="L67" s="490"/>
    </row>
    <row r="68" spans="1:12" ht="16" x14ac:dyDescent="0.15">
      <c r="A68" s="448" t="s">
        <v>1160</v>
      </c>
      <c r="B68" s="486" t="s">
        <v>423</v>
      </c>
      <c r="C68" s="499">
        <v>1</v>
      </c>
      <c r="D68" s="487" t="s">
        <v>5</v>
      </c>
      <c r="E68" s="488"/>
      <c r="F68" s="489"/>
      <c r="G68" s="489"/>
      <c r="H68" s="489"/>
      <c r="I68" s="489"/>
      <c r="J68" s="489"/>
      <c r="K68" s="489"/>
      <c r="L68" s="490"/>
    </row>
    <row r="69" spans="1:12" x14ac:dyDescent="0.2">
      <c r="A69" s="470"/>
      <c r="B69" s="802" t="s">
        <v>1449</v>
      </c>
      <c r="C69" s="803"/>
      <c r="D69" s="803"/>
      <c r="E69" s="803"/>
      <c r="F69" s="803"/>
      <c r="G69" s="803"/>
      <c r="H69" s="803"/>
      <c r="I69" s="803"/>
      <c r="J69" s="804"/>
      <c r="K69" s="467"/>
      <c r="L69" s="471"/>
    </row>
    <row r="70" spans="1:12" ht="16" x14ac:dyDescent="0.2">
      <c r="A70" s="501">
        <v>4.8</v>
      </c>
      <c r="B70" s="494" t="s">
        <v>1408</v>
      </c>
      <c r="C70" s="463"/>
      <c r="D70" s="464"/>
      <c r="E70" s="499">
        <v>1</v>
      </c>
      <c r="F70" s="452" t="s">
        <v>5</v>
      </c>
      <c r="G70" s="469"/>
      <c r="H70" s="469"/>
      <c r="I70" s="469"/>
      <c r="J70" s="469"/>
      <c r="K70" s="469"/>
      <c r="L70" s="469"/>
    </row>
    <row r="71" spans="1:12" ht="80" x14ac:dyDescent="0.15">
      <c r="A71" s="448" t="s">
        <v>1161</v>
      </c>
      <c r="B71" s="486" t="s">
        <v>1452</v>
      </c>
      <c r="C71" s="502">
        <v>4</v>
      </c>
      <c r="D71" s="487" t="s">
        <v>1</v>
      </c>
      <c r="E71" s="488"/>
      <c r="F71" s="489"/>
      <c r="G71" s="489"/>
      <c r="H71" s="489"/>
      <c r="I71" s="489"/>
      <c r="J71" s="489"/>
      <c r="K71" s="489"/>
      <c r="L71" s="490"/>
    </row>
    <row r="72" spans="1:12" ht="16" x14ac:dyDescent="0.15">
      <c r="A72" s="448" t="s">
        <v>1162</v>
      </c>
      <c r="B72" s="486" t="s">
        <v>423</v>
      </c>
      <c r="C72" s="499">
        <v>1</v>
      </c>
      <c r="D72" s="487" t="s">
        <v>5</v>
      </c>
      <c r="E72" s="488"/>
      <c r="F72" s="489"/>
      <c r="G72" s="489"/>
      <c r="H72" s="489"/>
      <c r="I72" s="489"/>
      <c r="J72" s="489"/>
      <c r="K72" s="489"/>
      <c r="L72" s="490"/>
    </row>
    <row r="73" spans="1:12" x14ac:dyDescent="0.2">
      <c r="A73" s="470"/>
      <c r="B73" s="802" t="s">
        <v>1449</v>
      </c>
      <c r="C73" s="803"/>
      <c r="D73" s="803"/>
      <c r="E73" s="803"/>
      <c r="F73" s="803"/>
      <c r="G73" s="803"/>
      <c r="H73" s="803"/>
      <c r="I73" s="803"/>
      <c r="J73" s="804"/>
      <c r="K73" s="467"/>
      <c r="L73" s="471"/>
    </row>
    <row r="74" spans="1:12" ht="16" x14ac:dyDescent="0.2">
      <c r="A74" s="501">
        <v>4.9000000000000004</v>
      </c>
      <c r="B74" s="494" t="s">
        <v>1163</v>
      </c>
      <c r="C74" s="463"/>
      <c r="D74" s="464"/>
      <c r="E74" s="499">
        <v>1</v>
      </c>
      <c r="F74" s="452" t="s">
        <v>5</v>
      </c>
      <c r="G74" s="469"/>
      <c r="H74" s="469"/>
      <c r="I74" s="469"/>
      <c r="J74" s="469"/>
      <c r="K74" s="469"/>
      <c r="L74" s="469"/>
    </row>
    <row r="75" spans="1:12" ht="16" x14ac:dyDescent="0.15">
      <c r="A75" s="448" t="s">
        <v>1214</v>
      </c>
      <c r="B75" s="486" t="s">
        <v>1207</v>
      </c>
      <c r="C75" s="499">
        <v>141</v>
      </c>
      <c r="D75" s="487" t="s">
        <v>98</v>
      </c>
      <c r="E75" s="488"/>
      <c r="F75" s="489"/>
      <c r="G75" s="489"/>
      <c r="H75" s="489"/>
      <c r="I75" s="489"/>
      <c r="J75" s="489"/>
      <c r="K75" s="489"/>
      <c r="L75" s="490"/>
    </row>
    <row r="76" spans="1:12" ht="16" x14ac:dyDescent="0.15">
      <c r="A76" s="448" t="s">
        <v>1215</v>
      </c>
      <c r="B76" s="486" t="s">
        <v>1206</v>
      </c>
      <c r="C76" s="499">
        <v>31.879100000000005</v>
      </c>
      <c r="D76" s="487" t="s">
        <v>892</v>
      </c>
      <c r="E76" s="488"/>
      <c r="F76" s="489"/>
      <c r="G76" s="489"/>
      <c r="H76" s="489"/>
      <c r="I76" s="489"/>
      <c r="J76" s="489"/>
      <c r="K76" s="489"/>
      <c r="L76" s="490"/>
    </row>
    <row r="77" spans="1:12" x14ac:dyDescent="0.2">
      <c r="A77" s="470"/>
      <c r="B77" s="802" t="s">
        <v>1449</v>
      </c>
      <c r="C77" s="803"/>
      <c r="D77" s="803"/>
      <c r="E77" s="803"/>
      <c r="F77" s="803"/>
      <c r="G77" s="803"/>
      <c r="H77" s="803"/>
      <c r="I77" s="803"/>
      <c r="J77" s="804"/>
      <c r="K77" s="467"/>
      <c r="L77" s="471"/>
    </row>
    <row r="78" spans="1:12" ht="16" x14ac:dyDescent="0.2">
      <c r="A78" s="503">
        <v>4.0999999999999996</v>
      </c>
      <c r="B78" s="494" t="s">
        <v>1164</v>
      </c>
      <c r="C78" s="463"/>
      <c r="D78" s="464"/>
      <c r="E78" s="499">
        <v>1</v>
      </c>
      <c r="F78" s="452" t="s">
        <v>5</v>
      </c>
      <c r="G78" s="469"/>
      <c r="H78" s="469"/>
      <c r="I78" s="469"/>
      <c r="J78" s="469"/>
      <c r="K78" s="469"/>
      <c r="L78" s="469"/>
    </row>
    <row r="79" spans="1:12" ht="48" x14ac:dyDescent="0.15">
      <c r="A79" s="448" t="s">
        <v>1216</v>
      </c>
      <c r="B79" s="486" t="s">
        <v>1170</v>
      </c>
      <c r="C79" s="499">
        <v>1</v>
      </c>
      <c r="D79" s="487" t="s">
        <v>1</v>
      </c>
      <c r="E79" s="488"/>
      <c r="F79" s="489"/>
      <c r="G79" s="489"/>
      <c r="H79" s="489"/>
      <c r="I79" s="489"/>
      <c r="J79" s="489"/>
      <c r="K79" s="489"/>
      <c r="L79" s="490"/>
    </row>
    <row r="80" spans="1:12" ht="48" x14ac:dyDescent="0.15">
      <c r="A80" s="448" t="s">
        <v>1217</v>
      </c>
      <c r="B80" s="486" t="s">
        <v>1266</v>
      </c>
      <c r="C80" s="499">
        <v>2</v>
      </c>
      <c r="D80" s="487" t="s">
        <v>1</v>
      </c>
      <c r="E80" s="488"/>
      <c r="F80" s="489"/>
      <c r="G80" s="489"/>
      <c r="H80" s="489"/>
      <c r="I80" s="489"/>
      <c r="J80" s="489"/>
      <c r="K80" s="489"/>
      <c r="L80" s="490"/>
    </row>
    <row r="81" spans="1:12" ht="32" x14ac:dyDescent="0.15">
      <c r="A81" s="448" t="s">
        <v>1218</v>
      </c>
      <c r="B81" s="486" t="s">
        <v>1165</v>
      </c>
      <c r="C81" s="499">
        <v>1</v>
      </c>
      <c r="D81" s="487" t="s">
        <v>1</v>
      </c>
      <c r="E81" s="488"/>
      <c r="F81" s="489"/>
      <c r="G81" s="489"/>
      <c r="H81" s="489"/>
      <c r="I81" s="489"/>
      <c r="J81" s="489"/>
      <c r="K81" s="489"/>
      <c r="L81" s="490"/>
    </row>
    <row r="82" spans="1:12" ht="32" x14ac:dyDescent="0.15">
      <c r="A82" s="448" t="s">
        <v>1219</v>
      </c>
      <c r="B82" s="486" t="s">
        <v>1166</v>
      </c>
      <c r="C82" s="499">
        <v>4</v>
      </c>
      <c r="D82" s="487" t="s">
        <v>1</v>
      </c>
      <c r="E82" s="488"/>
      <c r="F82" s="489"/>
      <c r="G82" s="489"/>
      <c r="H82" s="489"/>
      <c r="I82" s="489"/>
      <c r="J82" s="489"/>
      <c r="K82" s="489"/>
      <c r="L82" s="490"/>
    </row>
    <row r="83" spans="1:12" ht="32" x14ac:dyDescent="0.15">
      <c r="A83" s="448" t="s">
        <v>1220</v>
      </c>
      <c r="B83" s="486" t="s">
        <v>1167</v>
      </c>
      <c r="C83" s="499">
        <v>4</v>
      </c>
      <c r="D83" s="487" t="s">
        <v>1</v>
      </c>
      <c r="E83" s="488"/>
      <c r="F83" s="489"/>
      <c r="G83" s="489"/>
      <c r="H83" s="489"/>
      <c r="I83" s="489"/>
      <c r="J83" s="489"/>
      <c r="K83" s="489"/>
      <c r="L83" s="490"/>
    </row>
    <row r="84" spans="1:12" ht="48" x14ac:dyDescent="0.15">
      <c r="A84" s="448" t="s">
        <v>1221</v>
      </c>
      <c r="B84" s="486" t="s">
        <v>1168</v>
      </c>
      <c r="C84" s="499">
        <v>5</v>
      </c>
      <c r="D84" s="487" t="s">
        <v>1</v>
      </c>
      <c r="E84" s="488"/>
      <c r="F84" s="489"/>
      <c r="G84" s="489"/>
      <c r="H84" s="489"/>
      <c r="I84" s="489"/>
      <c r="J84" s="489"/>
      <c r="K84" s="489"/>
      <c r="L84" s="490"/>
    </row>
    <row r="85" spans="1:12" ht="48" x14ac:dyDescent="0.15">
      <c r="A85" s="448" t="s">
        <v>1222</v>
      </c>
      <c r="B85" s="486" t="s">
        <v>1171</v>
      </c>
      <c r="C85" s="499">
        <v>1</v>
      </c>
      <c r="D85" s="487" t="s">
        <v>1</v>
      </c>
      <c r="E85" s="488"/>
      <c r="F85" s="489"/>
      <c r="G85" s="489"/>
      <c r="H85" s="489"/>
      <c r="I85" s="489"/>
      <c r="J85" s="489"/>
      <c r="K85" s="489"/>
      <c r="L85" s="490"/>
    </row>
    <row r="86" spans="1:12" ht="32" x14ac:dyDescent="0.15">
      <c r="A86" s="448" t="s">
        <v>1409</v>
      </c>
      <c r="B86" s="486" t="s">
        <v>1169</v>
      </c>
      <c r="C86" s="499">
        <v>1</v>
      </c>
      <c r="D86" s="487" t="s">
        <v>1</v>
      </c>
      <c r="E86" s="488"/>
      <c r="F86" s="489"/>
      <c r="G86" s="489"/>
      <c r="H86" s="489"/>
      <c r="I86" s="489"/>
      <c r="J86" s="489"/>
      <c r="K86" s="489"/>
      <c r="L86" s="490"/>
    </row>
    <row r="87" spans="1:12" x14ac:dyDescent="0.2">
      <c r="A87" s="470"/>
      <c r="B87" s="802" t="s">
        <v>1449</v>
      </c>
      <c r="C87" s="803"/>
      <c r="D87" s="803"/>
      <c r="E87" s="803"/>
      <c r="F87" s="803"/>
      <c r="G87" s="803"/>
      <c r="H87" s="803"/>
      <c r="I87" s="803"/>
      <c r="J87" s="804"/>
      <c r="K87" s="467"/>
      <c r="L87" s="471"/>
    </row>
    <row r="88" spans="1:12" ht="16" x14ac:dyDescent="0.2">
      <c r="A88" s="503">
        <v>4.1100000000000003</v>
      </c>
      <c r="B88" s="494" t="s">
        <v>744</v>
      </c>
      <c r="C88" s="463"/>
      <c r="D88" s="464"/>
      <c r="E88" s="499">
        <v>1</v>
      </c>
      <c r="F88" s="452" t="s">
        <v>5</v>
      </c>
      <c r="G88" s="469"/>
      <c r="H88" s="469"/>
      <c r="I88" s="469"/>
      <c r="J88" s="469"/>
      <c r="K88" s="469"/>
      <c r="L88" s="469"/>
    </row>
    <row r="89" spans="1:12" ht="32" x14ac:dyDescent="0.15">
      <c r="A89" s="448" t="s">
        <v>1223</v>
      </c>
      <c r="B89" s="486" t="s">
        <v>1172</v>
      </c>
      <c r="C89" s="499">
        <v>2</v>
      </c>
      <c r="D89" s="487" t="s">
        <v>1</v>
      </c>
      <c r="E89" s="488"/>
      <c r="F89" s="489"/>
      <c r="G89" s="489"/>
      <c r="H89" s="489"/>
      <c r="I89" s="489"/>
      <c r="J89" s="489"/>
      <c r="K89" s="489"/>
      <c r="L89" s="490"/>
    </row>
    <row r="90" spans="1:12" ht="32" x14ac:dyDescent="0.15">
      <c r="A90" s="448" t="s">
        <v>1410</v>
      </c>
      <c r="B90" s="486" t="s">
        <v>1173</v>
      </c>
      <c r="C90" s="499">
        <v>1</v>
      </c>
      <c r="D90" s="487" t="s">
        <v>1</v>
      </c>
      <c r="E90" s="488"/>
      <c r="F90" s="489"/>
      <c r="G90" s="489"/>
      <c r="H90" s="489"/>
      <c r="I90" s="489"/>
      <c r="J90" s="489"/>
      <c r="K90" s="489"/>
      <c r="L90" s="490"/>
    </row>
    <row r="91" spans="1:12" ht="32" x14ac:dyDescent="0.15">
      <c r="A91" s="448" t="s">
        <v>1411</v>
      </c>
      <c r="B91" s="486" t="s">
        <v>1174</v>
      </c>
      <c r="C91" s="499">
        <v>2</v>
      </c>
      <c r="D91" s="487" t="s">
        <v>1</v>
      </c>
      <c r="E91" s="488"/>
      <c r="F91" s="489"/>
      <c r="G91" s="489"/>
      <c r="H91" s="489"/>
      <c r="I91" s="489"/>
      <c r="J91" s="489"/>
      <c r="K91" s="489"/>
      <c r="L91" s="490"/>
    </row>
    <row r="92" spans="1:12" ht="32" x14ac:dyDescent="0.15">
      <c r="A92" s="448" t="s">
        <v>1412</v>
      </c>
      <c r="B92" s="486" t="s">
        <v>1175</v>
      </c>
      <c r="C92" s="499">
        <v>5</v>
      </c>
      <c r="D92" s="487" t="s">
        <v>1</v>
      </c>
      <c r="E92" s="488"/>
      <c r="F92" s="489"/>
      <c r="G92" s="489"/>
      <c r="H92" s="489"/>
      <c r="I92" s="489"/>
      <c r="J92" s="489"/>
      <c r="K92" s="489"/>
      <c r="L92" s="490"/>
    </row>
    <row r="93" spans="1:12" ht="32" x14ac:dyDescent="0.15">
      <c r="A93" s="448" t="s">
        <v>1413</v>
      </c>
      <c r="B93" s="486" t="s">
        <v>1176</v>
      </c>
      <c r="C93" s="499">
        <v>2</v>
      </c>
      <c r="D93" s="487" t="s">
        <v>1</v>
      </c>
      <c r="E93" s="488"/>
      <c r="F93" s="489"/>
      <c r="G93" s="489"/>
      <c r="H93" s="489"/>
      <c r="I93" s="489"/>
      <c r="J93" s="489"/>
      <c r="K93" s="489"/>
      <c r="L93" s="490"/>
    </row>
    <row r="94" spans="1:12" ht="32" x14ac:dyDescent="0.15">
      <c r="A94" s="448" t="s">
        <v>1414</v>
      </c>
      <c r="B94" s="486" t="s">
        <v>1177</v>
      </c>
      <c r="C94" s="499">
        <v>2</v>
      </c>
      <c r="D94" s="487" t="s">
        <v>1</v>
      </c>
      <c r="E94" s="488"/>
      <c r="F94" s="489"/>
      <c r="G94" s="489"/>
      <c r="H94" s="489"/>
      <c r="I94" s="489"/>
      <c r="J94" s="489"/>
      <c r="K94" s="489"/>
      <c r="L94" s="490"/>
    </row>
    <row r="95" spans="1:12" ht="32" x14ac:dyDescent="0.15">
      <c r="A95" s="448" t="s">
        <v>1415</v>
      </c>
      <c r="B95" s="486" t="s">
        <v>1178</v>
      </c>
      <c r="C95" s="499">
        <v>1</v>
      </c>
      <c r="D95" s="487" t="s">
        <v>1</v>
      </c>
      <c r="E95" s="488"/>
      <c r="F95" s="489"/>
      <c r="G95" s="489"/>
      <c r="H95" s="489"/>
      <c r="I95" s="489"/>
      <c r="J95" s="489"/>
      <c r="K95" s="489"/>
      <c r="L95" s="490"/>
    </row>
    <row r="96" spans="1:12" x14ac:dyDescent="0.2">
      <c r="A96" s="470"/>
      <c r="B96" s="802" t="s">
        <v>1449</v>
      </c>
      <c r="C96" s="803"/>
      <c r="D96" s="803"/>
      <c r="E96" s="803"/>
      <c r="F96" s="803"/>
      <c r="G96" s="803"/>
      <c r="H96" s="803"/>
      <c r="I96" s="803"/>
      <c r="J96" s="804"/>
      <c r="K96" s="467"/>
      <c r="L96" s="471"/>
    </row>
    <row r="97" spans="1:12" ht="16" x14ac:dyDescent="0.2">
      <c r="A97" s="501" t="s">
        <v>1557</v>
      </c>
      <c r="B97" s="494" t="s">
        <v>1208</v>
      </c>
      <c r="C97" s="463"/>
      <c r="D97" s="464"/>
      <c r="E97" s="499">
        <v>1</v>
      </c>
      <c r="F97" s="452" t="s">
        <v>5</v>
      </c>
      <c r="G97" s="469"/>
      <c r="H97" s="469"/>
      <c r="I97" s="469"/>
      <c r="J97" s="469"/>
      <c r="K97" s="469"/>
      <c r="L97" s="469"/>
    </row>
    <row r="98" spans="1:12" ht="32" x14ac:dyDescent="0.15">
      <c r="A98" s="448" t="s">
        <v>1416</v>
      </c>
      <c r="B98" s="486" t="s">
        <v>1209</v>
      </c>
      <c r="C98" s="499">
        <v>100</v>
      </c>
      <c r="D98" s="487" t="s">
        <v>1049</v>
      </c>
      <c r="E98" s="488"/>
      <c r="F98" s="489"/>
      <c r="G98" s="489"/>
      <c r="H98" s="489"/>
      <c r="I98" s="489"/>
      <c r="J98" s="489"/>
      <c r="K98" s="489"/>
      <c r="L98" s="490"/>
    </row>
    <row r="99" spans="1:12" x14ac:dyDescent="0.2">
      <c r="A99" s="470"/>
      <c r="B99" s="802" t="s">
        <v>1449</v>
      </c>
      <c r="C99" s="803"/>
      <c r="D99" s="803"/>
      <c r="E99" s="803"/>
      <c r="F99" s="803"/>
      <c r="G99" s="803"/>
      <c r="H99" s="803"/>
      <c r="I99" s="803"/>
      <c r="J99" s="804"/>
      <c r="K99" s="467"/>
      <c r="L99" s="471"/>
    </row>
    <row r="100" spans="1:12" x14ac:dyDescent="0.2">
      <c r="A100" s="459">
        <v>5</v>
      </c>
      <c r="B100" s="445" t="s">
        <v>1091</v>
      </c>
      <c r="C100" s="446"/>
      <c r="D100" s="446"/>
      <c r="E100" s="446"/>
      <c r="F100" s="446"/>
      <c r="G100" s="446"/>
      <c r="H100" s="446"/>
      <c r="I100" s="446"/>
      <c r="J100" s="446"/>
      <c r="K100" s="446"/>
      <c r="L100" s="447"/>
    </row>
    <row r="101" spans="1:12" ht="16" x14ac:dyDescent="0.15">
      <c r="A101" s="501">
        <v>5.0999999999999996</v>
      </c>
      <c r="B101" s="494" t="s">
        <v>1120</v>
      </c>
      <c r="C101" s="472"/>
      <c r="D101" s="473"/>
      <c r="E101" s="504">
        <v>1</v>
      </c>
      <c r="F101" s="474" t="s">
        <v>5</v>
      </c>
      <c r="G101" s="453"/>
      <c r="H101" s="453"/>
      <c r="I101" s="454"/>
      <c r="J101" s="454"/>
      <c r="K101" s="454"/>
      <c r="L101" s="454"/>
    </row>
    <row r="102" spans="1:12" ht="16" x14ac:dyDescent="0.15">
      <c r="A102" s="448" t="s">
        <v>1224</v>
      </c>
      <c r="B102" s="486" t="s">
        <v>1111</v>
      </c>
      <c r="C102" s="499">
        <v>405.26200000000006</v>
      </c>
      <c r="D102" s="487" t="s">
        <v>98</v>
      </c>
      <c r="E102" s="488"/>
      <c r="F102" s="489"/>
      <c r="G102" s="489"/>
      <c r="H102" s="489"/>
      <c r="I102" s="489"/>
      <c r="J102" s="489"/>
      <c r="K102" s="489"/>
      <c r="L102" s="490"/>
    </row>
    <row r="103" spans="1:12" ht="16" x14ac:dyDescent="0.15">
      <c r="A103" s="448" t="s">
        <v>1225</v>
      </c>
      <c r="B103" s="486" t="s">
        <v>1112</v>
      </c>
      <c r="C103" s="499">
        <v>424.33600000000001</v>
      </c>
      <c r="D103" s="487" t="s">
        <v>98</v>
      </c>
      <c r="E103" s="488"/>
      <c r="F103" s="489"/>
      <c r="G103" s="489"/>
      <c r="H103" s="489"/>
      <c r="I103" s="489"/>
      <c r="J103" s="489"/>
      <c r="K103" s="489"/>
      <c r="L103" s="490"/>
    </row>
    <row r="104" spans="1:12" ht="16" x14ac:dyDescent="0.15">
      <c r="A104" s="448" t="s">
        <v>1226</v>
      </c>
      <c r="B104" s="486" t="s">
        <v>1093</v>
      </c>
      <c r="C104" s="499">
        <v>822.36000000000013</v>
      </c>
      <c r="D104" s="487" t="s">
        <v>98</v>
      </c>
      <c r="E104" s="488"/>
      <c r="F104" s="489"/>
      <c r="G104" s="489"/>
      <c r="H104" s="489"/>
      <c r="I104" s="489"/>
      <c r="J104" s="489"/>
      <c r="K104" s="489"/>
      <c r="L104" s="490"/>
    </row>
    <row r="105" spans="1:12" ht="16" x14ac:dyDescent="0.15">
      <c r="A105" s="448" t="s">
        <v>1227</v>
      </c>
      <c r="B105" s="486" t="s">
        <v>1114</v>
      </c>
      <c r="C105" s="499">
        <v>128.02000000000001</v>
      </c>
      <c r="D105" s="487" t="s">
        <v>298</v>
      </c>
      <c r="E105" s="488"/>
      <c r="F105" s="489"/>
      <c r="G105" s="489"/>
      <c r="H105" s="489"/>
      <c r="I105" s="489"/>
      <c r="J105" s="489"/>
      <c r="K105" s="489"/>
      <c r="L105" s="490"/>
    </row>
    <row r="106" spans="1:12" ht="32" x14ac:dyDescent="0.15">
      <c r="A106" s="448" t="s">
        <v>1228</v>
      </c>
      <c r="B106" s="486" t="s">
        <v>1113</v>
      </c>
      <c r="C106" s="499">
        <v>1</v>
      </c>
      <c r="D106" s="487" t="s">
        <v>5</v>
      </c>
      <c r="E106" s="488"/>
      <c r="F106" s="489"/>
      <c r="G106" s="489"/>
      <c r="H106" s="489"/>
      <c r="I106" s="489"/>
      <c r="J106" s="489"/>
      <c r="K106" s="489"/>
      <c r="L106" s="490"/>
    </row>
    <row r="107" spans="1:12" ht="16" x14ac:dyDescent="0.15">
      <c r="A107" s="448" t="s">
        <v>1229</v>
      </c>
      <c r="B107" s="486" t="s">
        <v>1095</v>
      </c>
      <c r="C107" s="499">
        <v>1</v>
      </c>
      <c r="D107" s="487" t="s">
        <v>5</v>
      </c>
      <c r="E107" s="488"/>
      <c r="F107" s="489"/>
      <c r="G107" s="489"/>
      <c r="H107" s="489"/>
      <c r="I107" s="489"/>
      <c r="J107" s="489"/>
      <c r="K107" s="489"/>
      <c r="L107" s="490"/>
    </row>
    <row r="108" spans="1:12" x14ac:dyDescent="0.2">
      <c r="A108" s="448"/>
      <c r="B108" s="802" t="s">
        <v>1449</v>
      </c>
      <c r="C108" s="803"/>
      <c r="D108" s="803"/>
      <c r="E108" s="803"/>
      <c r="F108" s="803"/>
      <c r="G108" s="803"/>
      <c r="H108" s="803"/>
      <c r="I108" s="803"/>
      <c r="J108" s="804"/>
      <c r="K108" s="457"/>
      <c r="L108" s="458"/>
    </row>
    <row r="109" spans="1:12" ht="16" x14ac:dyDescent="0.15">
      <c r="A109" s="501">
        <v>5.1999999999999993</v>
      </c>
      <c r="B109" s="494" t="s">
        <v>1096</v>
      </c>
      <c r="C109" s="472"/>
      <c r="D109" s="473"/>
      <c r="E109" s="504">
        <v>1</v>
      </c>
      <c r="F109" s="474" t="s">
        <v>5</v>
      </c>
      <c r="G109" s="453"/>
      <c r="H109" s="453"/>
      <c r="I109" s="454"/>
      <c r="J109" s="454"/>
      <c r="K109" s="454"/>
      <c r="L109" s="454"/>
    </row>
    <row r="110" spans="1:12" ht="16" x14ac:dyDescent="0.15">
      <c r="A110" s="448" t="s">
        <v>1230</v>
      </c>
      <c r="B110" s="486" t="s">
        <v>1097</v>
      </c>
      <c r="C110" s="499">
        <v>696.10357142857151</v>
      </c>
      <c r="D110" s="487" t="s">
        <v>98</v>
      </c>
      <c r="E110" s="488"/>
      <c r="F110" s="489"/>
      <c r="G110" s="489"/>
      <c r="H110" s="489"/>
      <c r="I110" s="489"/>
      <c r="J110" s="489"/>
      <c r="K110" s="489"/>
      <c r="L110" s="490"/>
    </row>
    <row r="111" spans="1:12" ht="16" x14ac:dyDescent="0.15">
      <c r="A111" s="448" t="s">
        <v>1231</v>
      </c>
      <c r="B111" s="486" t="s">
        <v>1098</v>
      </c>
      <c r="C111" s="499">
        <v>117.09500000000001</v>
      </c>
      <c r="D111" s="487" t="s">
        <v>98</v>
      </c>
      <c r="E111" s="488"/>
      <c r="F111" s="489"/>
      <c r="G111" s="489"/>
      <c r="H111" s="489"/>
      <c r="I111" s="489"/>
      <c r="J111" s="489"/>
      <c r="K111" s="489"/>
      <c r="L111" s="490"/>
    </row>
    <row r="112" spans="1:12" ht="16" x14ac:dyDescent="0.15">
      <c r="A112" s="448" t="s">
        <v>1232</v>
      </c>
      <c r="B112" s="486" t="s">
        <v>1115</v>
      </c>
      <c r="C112" s="499">
        <v>69.850000000000009</v>
      </c>
      <c r="D112" s="487" t="s">
        <v>98</v>
      </c>
      <c r="E112" s="488"/>
      <c r="F112" s="489"/>
      <c r="G112" s="489"/>
      <c r="H112" s="489"/>
      <c r="I112" s="489"/>
      <c r="J112" s="489"/>
      <c r="K112" s="489"/>
      <c r="L112" s="490"/>
    </row>
    <row r="113" spans="1:12" ht="16" x14ac:dyDescent="0.15">
      <c r="A113" s="448" t="s">
        <v>1233</v>
      </c>
      <c r="B113" s="486" t="s">
        <v>1199</v>
      </c>
      <c r="C113" s="499">
        <v>22</v>
      </c>
      <c r="D113" s="487" t="s">
        <v>352</v>
      </c>
      <c r="E113" s="488"/>
      <c r="F113" s="489"/>
      <c r="G113" s="489"/>
      <c r="H113" s="489"/>
      <c r="I113" s="489"/>
      <c r="J113" s="489"/>
      <c r="K113" s="489"/>
      <c r="L113" s="490"/>
    </row>
    <row r="114" spans="1:12" ht="32" x14ac:dyDescent="0.15">
      <c r="A114" s="448" t="s">
        <v>1234</v>
      </c>
      <c r="B114" s="486" t="s">
        <v>1099</v>
      </c>
      <c r="C114" s="499">
        <v>487.27250000000004</v>
      </c>
      <c r="D114" s="487" t="s">
        <v>892</v>
      </c>
      <c r="E114" s="488"/>
      <c r="F114" s="489"/>
      <c r="G114" s="489"/>
      <c r="H114" s="489"/>
      <c r="I114" s="489"/>
      <c r="J114" s="489"/>
      <c r="K114" s="489"/>
      <c r="L114" s="490"/>
    </row>
    <row r="115" spans="1:12" ht="16" x14ac:dyDescent="0.15">
      <c r="A115" s="448" t="s">
        <v>1235</v>
      </c>
      <c r="B115" s="486" t="s">
        <v>1100</v>
      </c>
      <c r="C115" s="499">
        <v>1</v>
      </c>
      <c r="D115" s="487" t="s">
        <v>5</v>
      </c>
      <c r="E115" s="488"/>
      <c r="F115" s="489"/>
      <c r="G115" s="489"/>
      <c r="H115" s="489"/>
      <c r="I115" s="489"/>
      <c r="J115" s="489"/>
      <c r="K115" s="489"/>
      <c r="L115" s="490"/>
    </row>
    <row r="116" spans="1:12" x14ac:dyDescent="0.2">
      <c r="A116" s="448"/>
      <c r="B116" s="802" t="s">
        <v>1449</v>
      </c>
      <c r="C116" s="803"/>
      <c r="D116" s="803"/>
      <c r="E116" s="803"/>
      <c r="F116" s="803"/>
      <c r="G116" s="803"/>
      <c r="H116" s="803"/>
      <c r="I116" s="803"/>
      <c r="J116" s="804"/>
      <c r="K116" s="457"/>
      <c r="L116" s="458"/>
    </row>
    <row r="117" spans="1:12" ht="16" x14ac:dyDescent="0.15">
      <c r="A117" s="501">
        <v>5.3</v>
      </c>
      <c r="B117" s="494" t="s">
        <v>1511</v>
      </c>
      <c r="C117" s="472"/>
      <c r="D117" s="473"/>
      <c r="E117" s="504">
        <v>1</v>
      </c>
      <c r="F117" s="474" t="s">
        <v>5</v>
      </c>
      <c r="G117" s="453"/>
      <c r="H117" s="453"/>
      <c r="I117" s="454"/>
      <c r="J117" s="454"/>
      <c r="K117" s="454"/>
      <c r="L117" s="454"/>
    </row>
    <row r="118" spans="1:12" ht="16" x14ac:dyDescent="0.15">
      <c r="A118" s="448" t="s">
        <v>1236</v>
      </c>
      <c r="B118" s="486" t="s">
        <v>1501</v>
      </c>
      <c r="C118" s="499">
        <v>56.760000000000005</v>
      </c>
      <c r="D118" s="487" t="s">
        <v>892</v>
      </c>
      <c r="E118" s="488"/>
      <c r="F118" s="489"/>
      <c r="G118" s="489"/>
      <c r="H118" s="489"/>
      <c r="I118" s="489"/>
      <c r="J118" s="489"/>
      <c r="K118" s="489"/>
      <c r="L118" s="490"/>
    </row>
    <row r="119" spans="1:12" ht="16" x14ac:dyDescent="0.15">
      <c r="A119" s="448" t="s">
        <v>1237</v>
      </c>
      <c r="B119" s="486" t="s">
        <v>1111</v>
      </c>
      <c r="C119" s="499">
        <v>30</v>
      </c>
      <c r="D119" s="487" t="s">
        <v>98</v>
      </c>
      <c r="E119" s="488"/>
      <c r="F119" s="489"/>
      <c r="G119" s="489"/>
      <c r="H119" s="489"/>
      <c r="I119" s="489"/>
      <c r="J119" s="489"/>
      <c r="K119" s="489"/>
      <c r="L119" s="490"/>
    </row>
    <row r="120" spans="1:12" ht="16" x14ac:dyDescent="0.15">
      <c r="A120" s="448" t="s">
        <v>1238</v>
      </c>
      <c r="B120" s="486" t="s">
        <v>1193</v>
      </c>
      <c r="C120" s="499">
        <v>132</v>
      </c>
      <c r="D120" s="487" t="s">
        <v>98</v>
      </c>
      <c r="E120" s="488"/>
      <c r="F120" s="489"/>
      <c r="G120" s="489"/>
      <c r="H120" s="489"/>
      <c r="I120" s="489"/>
      <c r="J120" s="489"/>
      <c r="K120" s="489"/>
      <c r="L120" s="490"/>
    </row>
    <row r="121" spans="1:12" ht="16" x14ac:dyDescent="0.15">
      <c r="A121" s="448" t="s">
        <v>1239</v>
      </c>
      <c r="B121" s="486" t="s">
        <v>1195</v>
      </c>
      <c r="C121" s="499">
        <v>48</v>
      </c>
      <c r="D121" s="487" t="s">
        <v>98</v>
      </c>
      <c r="E121" s="488"/>
      <c r="F121" s="489"/>
      <c r="G121" s="489"/>
      <c r="H121" s="489"/>
      <c r="I121" s="489"/>
      <c r="J121" s="489"/>
      <c r="K121" s="489"/>
      <c r="L121" s="490"/>
    </row>
    <row r="122" spans="1:12" ht="16" x14ac:dyDescent="0.15">
      <c r="A122" s="448" t="s">
        <v>1240</v>
      </c>
      <c r="B122" s="486" t="s">
        <v>1194</v>
      </c>
      <c r="C122" s="499">
        <v>48</v>
      </c>
      <c r="D122" s="487" t="s">
        <v>98</v>
      </c>
      <c r="E122" s="488"/>
      <c r="F122" s="489"/>
      <c r="G122" s="489"/>
      <c r="H122" s="489"/>
      <c r="I122" s="489"/>
      <c r="J122" s="489"/>
      <c r="K122" s="489"/>
      <c r="L122" s="490"/>
    </row>
    <row r="123" spans="1:12" ht="16" x14ac:dyDescent="0.15">
      <c r="A123" s="448" t="s">
        <v>1241</v>
      </c>
      <c r="B123" s="486" t="s">
        <v>1197</v>
      </c>
      <c r="C123" s="499">
        <v>258</v>
      </c>
      <c r="D123" s="487" t="s">
        <v>98</v>
      </c>
      <c r="E123" s="488"/>
      <c r="F123" s="489"/>
      <c r="G123" s="489"/>
      <c r="H123" s="489"/>
      <c r="I123" s="489"/>
      <c r="J123" s="489"/>
      <c r="K123" s="489"/>
      <c r="L123" s="490"/>
    </row>
    <row r="124" spans="1:12" ht="16" x14ac:dyDescent="0.15">
      <c r="A124" s="448" t="s">
        <v>1242</v>
      </c>
      <c r="B124" s="486" t="s">
        <v>1196</v>
      </c>
      <c r="C124" s="499">
        <v>258</v>
      </c>
      <c r="D124" s="487" t="s">
        <v>98</v>
      </c>
      <c r="E124" s="488"/>
      <c r="F124" s="489"/>
      <c r="G124" s="489"/>
      <c r="H124" s="489"/>
      <c r="I124" s="489"/>
      <c r="J124" s="489"/>
      <c r="K124" s="489"/>
      <c r="L124" s="490"/>
    </row>
    <row r="125" spans="1:12" ht="16" x14ac:dyDescent="0.15">
      <c r="A125" s="448" t="s">
        <v>1243</v>
      </c>
      <c r="B125" s="486" t="s">
        <v>1116</v>
      </c>
      <c r="C125" s="499">
        <v>1</v>
      </c>
      <c r="D125" s="487" t="s">
        <v>5</v>
      </c>
      <c r="E125" s="488"/>
      <c r="F125" s="489"/>
      <c r="G125" s="489"/>
      <c r="H125" s="489"/>
      <c r="I125" s="489"/>
      <c r="J125" s="489"/>
      <c r="K125" s="489"/>
      <c r="L125" s="490"/>
    </row>
    <row r="126" spans="1:12" ht="16" x14ac:dyDescent="0.15">
      <c r="A126" s="448" t="s">
        <v>1244</v>
      </c>
      <c r="B126" s="486" t="s">
        <v>1403</v>
      </c>
      <c r="C126" s="499">
        <v>1</v>
      </c>
      <c r="D126" s="487" t="s">
        <v>5</v>
      </c>
      <c r="E126" s="488"/>
      <c r="F126" s="489"/>
      <c r="G126" s="489"/>
      <c r="H126" s="489"/>
      <c r="I126" s="489"/>
      <c r="J126" s="489"/>
      <c r="K126" s="489"/>
      <c r="L126" s="490"/>
    </row>
    <row r="127" spans="1:12" ht="16" x14ac:dyDescent="0.15">
      <c r="A127" s="448" t="s">
        <v>1400</v>
      </c>
      <c r="B127" s="486" t="s">
        <v>1095</v>
      </c>
      <c r="C127" s="499">
        <v>1</v>
      </c>
      <c r="D127" s="487" t="s">
        <v>5</v>
      </c>
      <c r="E127" s="488"/>
      <c r="F127" s="489"/>
      <c r="G127" s="489"/>
      <c r="H127" s="489"/>
      <c r="I127" s="489"/>
      <c r="J127" s="489"/>
      <c r="K127" s="489"/>
      <c r="L127" s="490"/>
    </row>
    <row r="128" spans="1:12" x14ac:dyDescent="0.2">
      <c r="A128" s="448"/>
      <c r="B128" s="802" t="s">
        <v>1449</v>
      </c>
      <c r="C128" s="803"/>
      <c r="D128" s="803"/>
      <c r="E128" s="803"/>
      <c r="F128" s="803"/>
      <c r="G128" s="803"/>
      <c r="H128" s="803"/>
      <c r="I128" s="803"/>
      <c r="J128" s="804"/>
      <c r="K128" s="457"/>
      <c r="L128" s="458"/>
    </row>
    <row r="129" spans="1:12" ht="16" x14ac:dyDescent="0.15">
      <c r="A129" s="501">
        <v>5.4</v>
      </c>
      <c r="B129" s="494" t="s">
        <v>1504</v>
      </c>
      <c r="C129" s="472"/>
      <c r="D129" s="473"/>
      <c r="E129" s="504">
        <v>1</v>
      </c>
      <c r="F129" s="474" t="s">
        <v>5</v>
      </c>
      <c r="G129" s="453"/>
      <c r="H129" s="453"/>
      <c r="I129" s="454"/>
      <c r="J129" s="454"/>
      <c r="K129" s="454"/>
      <c r="L129" s="454"/>
    </row>
    <row r="130" spans="1:12" ht="64" x14ac:dyDescent="0.15">
      <c r="A130" s="448" t="s">
        <v>1245</v>
      </c>
      <c r="B130" s="486" t="s">
        <v>1276</v>
      </c>
      <c r="C130" s="499">
        <v>1</v>
      </c>
      <c r="D130" s="487" t="s">
        <v>5</v>
      </c>
      <c r="E130" s="488"/>
      <c r="F130" s="489"/>
      <c r="G130" s="489"/>
      <c r="H130" s="489"/>
      <c r="I130" s="489"/>
      <c r="J130" s="489"/>
      <c r="K130" s="489"/>
      <c r="L130" s="490"/>
    </row>
    <row r="131" spans="1:12" ht="16" x14ac:dyDescent="0.15">
      <c r="A131" s="448" t="s">
        <v>1246</v>
      </c>
      <c r="B131" s="486" t="s">
        <v>1500</v>
      </c>
      <c r="C131" s="499">
        <v>35.4</v>
      </c>
      <c r="D131" s="487" t="s">
        <v>892</v>
      </c>
      <c r="E131" s="488"/>
      <c r="F131" s="489"/>
      <c r="G131" s="489"/>
      <c r="H131" s="489"/>
      <c r="I131" s="489"/>
      <c r="J131" s="489"/>
      <c r="K131" s="489"/>
      <c r="L131" s="490"/>
    </row>
    <row r="132" spans="1:12" ht="16" x14ac:dyDescent="0.15">
      <c r="A132" s="448" t="s">
        <v>1247</v>
      </c>
      <c r="B132" s="486" t="s">
        <v>1487</v>
      </c>
      <c r="C132" s="499">
        <v>6.2639999999999993</v>
      </c>
      <c r="D132" s="487" t="s">
        <v>892</v>
      </c>
      <c r="E132" s="488"/>
      <c r="F132" s="489"/>
      <c r="G132" s="489"/>
      <c r="H132" s="489"/>
      <c r="I132" s="489"/>
      <c r="J132" s="489"/>
      <c r="K132" s="489"/>
      <c r="L132" s="490"/>
    </row>
    <row r="133" spans="1:12" ht="16" x14ac:dyDescent="0.15">
      <c r="A133" s="448" t="s">
        <v>1248</v>
      </c>
      <c r="B133" s="486" t="s">
        <v>1131</v>
      </c>
      <c r="C133" s="499">
        <v>12</v>
      </c>
      <c r="D133" s="487" t="s">
        <v>98</v>
      </c>
      <c r="E133" s="488"/>
      <c r="F133" s="489"/>
      <c r="G133" s="489"/>
      <c r="H133" s="489"/>
      <c r="I133" s="489"/>
      <c r="J133" s="489"/>
      <c r="K133" s="489"/>
      <c r="L133" s="490"/>
    </row>
    <row r="134" spans="1:12" ht="16" x14ac:dyDescent="0.15">
      <c r="A134" s="448" t="s">
        <v>1249</v>
      </c>
      <c r="B134" s="486" t="s">
        <v>1138</v>
      </c>
      <c r="C134" s="499">
        <v>18</v>
      </c>
      <c r="D134" s="487" t="s">
        <v>98</v>
      </c>
      <c r="E134" s="488"/>
      <c r="F134" s="489"/>
      <c r="G134" s="489"/>
      <c r="H134" s="489"/>
      <c r="I134" s="489"/>
      <c r="J134" s="489"/>
      <c r="K134" s="489"/>
      <c r="L134" s="490"/>
    </row>
    <row r="135" spans="1:12" ht="16" x14ac:dyDescent="0.15">
      <c r="A135" s="448" t="s">
        <v>1250</v>
      </c>
      <c r="B135" s="486" t="s">
        <v>1139</v>
      </c>
      <c r="C135" s="499">
        <v>12</v>
      </c>
      <c r="D135" s="487" t="s">
        <v>98</v>
      </c>
      <c r="E135" s="488"/>
      <c r="F135" s="489"/>
      <c r="G135" s="489"/>
      <c r="H135" s="489"/>
      <c r="I135" s="489"/>
      <c r="J135" s="489"/>
      <c r="K135" s="489"/>
      <c r="L135" s="490"/>
    </row>
    <row r="136" spans="1:12" ht="16" x14ac:dyDescent="0.15">
      <c r="A136" s="448" t="s">
        <v>1251</v>
      </c>
      <c r="B136" s="486" t="s">
        <v>1190</v>
      </c>
      <c r="C136" s="499">
        <v>4</v>
      </c>
      <c r="D136" s="487" t="s">
        <v>352</v>
      </c>
      <c r="E136" s="488"/>
      <c r="F136" s="489"/>
      <c r="G136" s="489"/>
      <c r="H136" s="489"/>
      <c r="I136" s="489"/>
      <c r="J136" s="489"/>
      <c r="K136" s="489"/>
      <c r="L136" s="490"/>
    </row>
    <row r="137" spans="1:12" ht="16" x14ac:dyDescent="0.15">
      <c r="A137" s="448" t="s">
        <v>1252</v>
      </c>
      <c r="B137" s="486" t="s">
        <v>1133</v>
      </c>
      <c r="C137" s="499">
        <v>8</v>
      </c>
      <c r="D137" s="487" t="s">
        <v>1</v>
      </c>
      <c r="E137" s="488"/>
      <c r="F137" s="489"/>
      <c r="G137" s="489"/>
      <c r="H137" s="489"/>
      <c r="I137" s="489"/>
      <c r="J137" s="489"/>
      <c r="K137" s="489"/>
      <c r="L137" s="490"/>
    </row>
    <row r="138" spans="1:12" ht="16" x14ac:dyDescent="0.15">
      <c r="A138" s="448" t="s">
        <v>1253</v>
      </c>
      <c r="B138" s="486" t="s">
        <v>1488</v>
      </c>
      <c r="C138" s="499">
        <v>18</v>
      </c>
      <c r="D138" s="487" t="s">
        <v>98</v>
      </c>
      <c r="E138" s="488"/>
      <c r="F138" s="489"/>
      <c r="G138" s="489"/>
      <c r="H138" s="489"/>
      <c r="I138" s="489"/>
      <c r="J138" s="489"/>
      <c r="K138" s="489"/>
      <c r="L138" s="490"/>
    </row>
    <row r="139" spans="1:12" ht="16" x14ac:dyDescent="0.15">
      <c r="A139" s="448" t="s">
        <v>1254</v>
      </c>
      <c r="B139" s="486" t="s">
        <v>1403</v>
      </c>
      <c r="C139" s="499">
        <v>1</v>
      </c>
      <c r="D139" s="487" t="s">
        <v>5</v>
      </c>
      <c r="E139" s="488"/>
      <c r="F139" s="489"/>
      <c r="G139" s="489"/>
      <c r="H139" s="489"/>
      <c r="I139" s="489"/>
      <c r="J139" s="489"/>
      <c r="K139" s="489"/>
      <c r="L139" s="490"/>
    </row>
    <row r="140" spans="1:12" ht="32" x14ac:dyDescent="0.15">
      <c r="A140" s="448" t="s">
        <v>1402</v>
      </c>
      <c r="B140" s="486" t="s">
        <v>1132</v>
      </c>
      <c r="C140" s="499">
        <v>1</v>
      </c>
      <c r="D140" s="487" t="s">
        <v>5</v>
      </c>
      <c r="E140" s="488"/>
      <c r="F140" s="489"/>
      <c r="G140" s="489"/>
      <c r="H140" s="489"/>
      <c r="I140" s="489"/>
      <c r="J140" s="489"/>
      <c r="K140" s="489"/>
      <c r="L140" s="490"/>
    </row>
    <row r="141" spans="1:12" x14ac:dyDescent="0.2">
      <c r="A141" s="448"/>
      <c r="B141" s="802" t="s">
        <v>1449</v>
      </c>
      <c r="C141" s="803"/>
      <c r="D141" s="803"/>
      <c r="E141" s="803"/>
      <c r="F141" s="803"/>
      <c r="G141" s="803"/>
      <c r="H141" s="803"/>
      <c r="I141" s="803"/>
      <c r="J141" s="804"/>
      <c r="K141" s="457"/>
      <c r="L141" s="458"/>
    </row>
    <row r="142" spans="1:12" ht="16" x14ac:dyDescent="0.15">
      <c r="A142" s="501">
        <v>5.5</v>
      </c>
      <c r="B142" s="494" t="s">
        <v>1512</v>
      </c>
      <c r="C142" s="472"/>
      <c r="D142" s="473"/>
      <c r="E142" s="504">
        <v>1</v>
      </c>
      <c r="F142" s="474" t="s">
        <v>5</v>
      </c>
      <c r="G142" s="453"/>
      <c r="H142" s="453"/>
      <c r="I142" s="454"/>
      <c r="J142" s="454"/>
      <c r="K142" s="454"/>
      <c r="L142" s="454"/>
    </row>
    <row r="143" spans="1:12" ht="16" x14ac:dyDescent="0.15">
      <c r="A143" s="448" t="s">
        <v>1255</v>
      </c>
      <c r="B143" s="486" t="s">
        <v>1500</v>
      </c>
      <c r="C143" s="499">
        <v>103.03700000000001</v>
      </c>
      <c r="D143" s="487" t="s">
        <v>892</v>
      </c>
      <c r="E143" s="488"/>
      <c r="F143" s="489"/>
      <c r="G143" s="489"/>
      <c r="H143" s="489"/>
      <c r="I143" s="489"/>
      <c r="J143" s="489"/>
      <c r="K143" s="489"/>
      <c r="L143" s="490"/>
    </row>
    <row r="144" spans="1:12" ht="16" x14ac:dyDescent="0.15">
      <c r="A144" s="448" t="s">
        <v>1256</v>
      </c>
      <c r="B144" s="486" t="s">
        <v>1487</v>
      </c>
      <c r="C144" s="499">
        <v>31.900000000000002</v>
      </c>
      <c r="D144" s="487" t="s">
        <v>892</v>
      </c>
      <c r="E144" s="488"/>
      <c r="F144" s="489"/>
      <c r="G144" s="489"/>
      <c r="H144" s="489"/>
      <c r="I144" s="489"/>
      <c r="J144" s="489"/>
      <c r="K144" s="489"/>
      <c r="L144" s="490"/>
    </row>
    <row r="145" spans="1:16" ht="16" x14ac:dyDescent="0.15">
      <c r="A145" s="448" t="s">
        <v>1257</v>
      </c>
      <c r="B145" s="486" t="s">
        <v>1135</v>
      </c>
      <c r="C145" s="499">
        <v>18.047999999999998</v>
      </c>
      <c r="D145" s="487" t="s">
        <v>98</v>
      </c>
      <c r="E145" s="488"/>
      <c r="F145" s="489"/>
      <c r="G145" s="489"/>
      <c r="H145" s="489"/>
      <c r="I145" s="489"/>
      <c r="J145" s="489"/>
      <c r="K145" s="489"/>
      <c r="L145" s="490"/>
    </row>
    <row r="146" spans="1:16" ht="16" x14ac:dyDescent="0.15">
      <c r="A146" s="448" t="s">
        <v>1258</v>
      </c>
      <c r="B146" s="486" t="s">
        <v>1136</v>
      </c>
      <c r="C146" s="499">
        <v>12</v>
      </c>
      <c r="D146" s="487" t="s">
        <v>98</v>
      </c>
      <c r="E146" s="488"/>
      <c r="F146" s="489"/>
      <c r="G146" s="489"/>
      <c r="H146" s="489"/>
      <c r="I146" s="489"/>
      <c r="J146" s="489"/>
      <c r="K146" s="489"/>
      <c r="L146" s="490"/>
    </row>
    <row r="147" spans="1:16" ht="16" x14ac:dyDescent="0.15">
      <c r="A147" s="448" t="s">
        <v>1259</v>
      </c>
      <c r="B147" s="486" t="s">
        <v>1137</v>
      </c>
      <c r="C147" s="499">
        <v>18</v>
      </c>
      <c r="D147" s="487" t="s">
        <v>98</v>
      </c>
      <c r="E147" s="488"/>
      <c r="F147" s="489"/>
      <c r="G147" s="489"/>
      <c r="H147" s="489"/>
      <c r="I147" s="489"/>
      <c r="J147" s="489"/>
      <c r="K147" s="489"/>
      <c r="L147" s="490"/>
    </row>
    <row r="148" spans="1:16" ht="16" x14ac:dyDescent="0.15">
      <c r="A148" s="448" t="s">
        <v>1260</v>
      </c>
      <c r="B148" s="486" t="s">
        <v>1111</v>
      </c>
      <c r="C148" s="499">
        <v>78</v>
      </c>
      <c r="D148" s="487" t="s">
        <v>98</v>
      </c>
      <c r="E148" s="488"/>
      <c r="F148" s="489"/>
      <c r="G148" s="489"/>
      <c r="H148" s="489"/>
      <c r="I148" s="489"/>
      <c r="J148" s="489"/>
      <c r="K148" s="489"/>
      <c r="L148" s="490"/>
    </row>
    <row r="149" spans="1:16" ht="16" x14ac:dyDescent="0.15">
      <c r="A149" s="448" t="s">
        <v>1261</v>
      </c>
      <c r="B149" s="486" t="s">
        <v>1469</v>
      </c>
      <c r="C149" s="499">
        <v>36</v>
      </c>
      <c r="D149" s="487" t="s">
        <v>98</v>
      </c>
      <c r="E149" s="488"/>
      <c r="F149" s="489"/>
      <c r="G149" s="489"/>
      <c r="H149" s="489"/>
      <c r="I149" s="489"/>
      <c r="J149" s="489"/>
      <c r="K149" s="489"/>
      <c r="L149" s="490"/>
    </row>
    <row r="150" spans="1:16" ht="16" x14ac:dyDescent="0.15">
      <c r="A150" s="448" t="s">
        <v>1262</v>
      </c>
      <c r="B150" s="486" t="s">
        <v>1488</v>
      </c>
      <c r="C150" s="499">
        <v>18</v>
      </c>
      <c r="D150" s="487" t="s">
        <v>98</v>
      </c>
      <c r="E150" s="488"/>
      <c r="F150" s="489"/>
      <c r="G150" s="489"/>
      <c r="H150" s="489"/>
      <c r="I150" s="489"/>
      <c r="J150" s="489"/>
      <c r="K150" s="489"/>
      <c r="L150" s="490"/>
    </row>
    <row r="151" spans="1:16" ht="16" x14ac:dyDescent="0.15">
      <c r="A151" s="448" t="s">
        <v>1263</v>
      </c>
      <c r="B151" s="486" t="s">
        <v>1403</v>
      </c>
      <c r="C151" s="499">
        <v>1</v>
      </c>
      <c r="D151" s="487" t="s">
        <v>5</v>
      </c>
      <c r="E151" s="488"/>
      <c r="F151" s="489"/>
      <c r="G151" s="489"/>
      <c r="H151" s="489"/>
      <c r="I151" s="489"/>
      <c r="J151" s="489"/>
      <c r="K151" s="489"/>
      <c r="L151" s="490"/>
    </row>
    <row r="152" spans="1:16" ht="32" x14ac:dyDescent="0.15">
      <c r="A152" s="448" t="s">
        <v>1404</v>
      </c>
      <c r="B152" s="486" t="s">
        <v>1132</v>
      </c>
      <c r="C152" s="499">
        <v>1</v>
      </c>
      <c r="D152" s="487" t="s">
        <v>5</v>
      </c>
      <c r="E152" s="488"/>
      <c r="F152" s="489"/>
      <c r="G152" s="489"/>
      <c r="H152" s="489"/>
      <c r="I152" s="489"/>
      <c r="J152" s="489"/>
      <c r="K152" s="489"/>
      <c r="L152" s="490"/>
    </row>
    <row r="153" spans="1:16" x14ac:dyDescent="0.2">
      <c r="A153" s="448"/>
      <c r="B153" s="802" t="s">
        <v>1449</v>
      </c>
      <c r="C153" s="803"/>
      <c r="D153" s="803"/>
      <c r="E153" s="803"/>
      <c r="F153" s="803"/>
      <c r="G153" s="803"/>
      <c r="H153" s="803"/>
      <c r="I153" s="803"/>
      <c r="J153" s="804"/>
      <c r="K153" s="457"/>
      <c r="L153" s="458"/>
    </row>
    <row r="154" spans="1:16" ht="16" x14ac:dyDescent="0.2">
      <c r="A154" s="501">
        <v>5.6</v>
      </c>
      <c r="B154" s="494" t="s">
        <v>1124</v>
      </c>
      <c r="C154" s="463"/>
      <c r="D154" s="464"/>
      <c r="E154" s="499">
        <v>1</v>
      </c>
      <c r="F154" s="452" t="s">
        <v>5</v>
      </c>
      <c r="G154" s="469"/>
      <c r="H154" s="469"/>
      <c r="I154" s="469"/>
      <c r="J154" s="469"/>
      <c r="K154" s="469"/>
      <c r="L154" s="469"/>
    </row>
    <row r="155" spans="1:16" ht="16" x14ac:dyDescent="0.15">
      <c r="A155" s="448" t="s">
        <v>1264</v>
      </c>
      <c r="B155" s="486" t="s">
        <v>1125</v>
      </c>
      <c r="C155" s="499">
        <v>54.725000000000001</v>
      </c>
      <c r="D155" s="487" t="s">
        <v>98</v>
      </c>
      <c r="E155" s="488"/>
      <c r="F155" s="489"/>
      <c r="G155" s="489"/>
      <c r="H155" s="489"/>
      <c r="I155" s="489"/>
      <c r="J155" s="489"/>
      <c r="K155" s="489"/>
      <c r="L155" s="490"/>
    </row>
    <row r="156" spans="1:16" ht="16" x14ac:dyDescent="0.15">
      <c r="A156" s="448" t="s">
        <v>1265</v>
      </c>
      <c r="B156" s="486" t="s">
        <v>423</v>
      </c>
      <c r="C156" s="499">
        <v>1</v>
      </c>
      <c r="D156" s="487" t="s">
        <v>5</v>
      </c>
      <c r="E156" s="488"/>
      <c r="F156" s="489"/>
      <c r="G156" s="489"/>
      <c r="H156" s="489"/>
      <c r="I156" s="489"/>
      <c r="J156" s="489"/>
      <c r="K156" s="489"/>
      <c r="L156" s="490"/>
    </row>
    <row r="157" spans="1:16" x14ac:dyDescent="0.2">
      <c r="A157" s="470"/>
      <c r="B157" s="802" t="s">
        <v>1449</v>
      </c>
      <c r="C157" s="803"/>
      <c r="D157" s="803"/>
      <c r="E157" s="803"/>
      <c r="F157" s="803"/>
      <c r="G157" s="803"/>
      <c r="H157" s="803"/>
      <c r="I157" s="803"/>
      <c r="J157" s="804"/>
      <c r="K157" s="467"/>
      <c r="L157" s="471"/>
      <c r="P157" s="97"/>
    </row>
    <row r="158" spans="1:16" ht="16" x14ac:dyDescent="0.2">
      <c r="A158" s="501">
        <v>5.7</v>
      </c>
      <c r="B158" s="494" t="s">
        <v>1298</v>
      </c>
      <c r="C158" s="463"/>
      <c r="D158" s="464"/>
      <c r="E158" s="499">
        <v>1</v>
      </c>
      <c r="F158" s="452" t="s">
        <v>5</v>
      </c>
      <c r="G158" s="469"/>
      <c r="H158" s="469"/>
      <c r="I158" s="469"/>
      <c r="J158" s="469"/>
      <c r="K158" s="469"/>
      <c r="L158" s="469"/>
    </row>
    <row r="159" spans="1:16" ht="16" x14ac:dyDescent="0.15">
      <c r="A159" s="448" t="s">
        <v>1296</v>
      </c>
      <c r="B159" s="486" t="s">
        <v>1191</v>
      </c>
      <c r="C159" s="499">
        <v>48</v>
      </c>
      <c r="D159" s="487" t="s">
        <v>98</v>
      </c>
      <c r="E159" s="488"/>
      <c r="F159" s="489"/>
      <c r="G159" s="489"/>
      <c r="H159" s="489"/>
      <c r="I159" s="489"/>
      <c r="J159" s="489"/>
      <c r="K159" s="489"/>
      <c r="L159" s="490"/>
    </row>
    <row r="160" spans="1:16" ht="32" x14ac:dyDescent="0.15">
      <c r="A160" s="448" t="s">
        <v>1297</v>
      </c>
      <c r="B160" s="486" t="s">
        <v>1401</v>
      </c>
      <c r="C160" s="499">
        <v>1</v>
      </c>
      <c r="D160" s="487" t="s">
        <v>5</v>
      </c>
      <c r="E160" s="488"/>
      <c r="F160" s="489"/>
      <c r="G160" s="489"/>
      <c r="H160" s="489"/>
      <c r="I160" s="489"/>
      <c r="J160" s="489"/>
      <c r="K160" s="489"/>
      <c r="L160" s="490"/>
    </row>
    <row r="161" spans="1:12" ht="16" x14ac:dyDescent="0.15">
      <c r="A161" s="448" t="s">
        <v>1399</v>
      </c>
      <c r="B161" s="486" t="s">
        <v>1453</v>
      </c>
      <c r="C161" s="499">
        <v>1</v>
      </c>
      <c r="D161" s="487" t="s">
        <v>5</v>
      </c>
      <c r="E161" s="488"/>
      <c r="F161" s="489"/>
      <c r="G161" s="489"/>
      <c r="H161" s="489"/>
      <c r="I161" s="489"/>
      <c r="J161" s="489"/>
      <c r="K161" s="489"/>
      <c r="L161" s="490"/>
    </row>
    <row r="162" spans="1:12" x14ac:dyDescent="0.2">
      <c r="A162" s="470"/>
      <c r="B162" s="802" t="s">
        <v>1449</v>
      </c>
      <c r="C162" s="803"/>
      <c r="D162" s="803"/>
      <c r="E162" s="803"/>
      <c r="F162" s="803"/>
      <c r="G162" s="803"/>
      <c r="H162" s="803"/>
      <c r="I162" s="803"/>
      <c r="J162" s="804"/>
      <c r="K162" s="467"/>
      <c r="L162" s="471"/>
    </row>
    <row r="163" spans="1:12" x14ac:dyDescent="0.2">
      <c r="A163" s="459">
        <v>6</v>
      </c>
      <c r="B163" s="445" t="s">
        <v>633</v>
      </c>
      <c r="C163" s="446"/>
      <c r="D163" s="446"/>
      <c r="E163" s="446"/>
      <c r="F163" s="446"/>
      <c r="G163" s="446"/>
      <c r="H163" s="446"/>
      <c r="I163" s="446"/>
      <c r="J163" s="446"/>
      <c r="K163" s="446"/>
      <c r="L163" s="447"/>
    </row>
    <row r="164" spans="1:12" ht="16" x14ac:dyDescent="0.15">
      <c r="A164" s="448">
        <v>6.1</v>
      </c>
      <c r="B164" s="486" t="s">
        <v>737</v>
      </c>
      <c r="C164" s="499">
        <v>11</v>
      </c>
      <c r="D164" s="487" t="s">
        <v>1</v>
      </c>
      <c r="E164" s="488"/>
      <c r="F164" s="489"/>
      <c r="G164" s="489"/>
      <c r="H164" s="489"/>
      <c r="I164" s="489"/>
      <c r="J164" s="489"/>
      <c r="K164" s="489"/>
      <c r="L164" s="490"/>
    </row>
    <row r="165" spans="1:12" ht="32" x14ac:dyDescent="0.15">
      <c r="A165" s="448">
        <v>6.2</v>
      </c>
      <c r="B165" s="486" t="s">
        <v>1405</v>
      </c>
      <c r="C165" s="499">
        <v>1</v>
      </c>
      <c r="D165" s="487" t="s">
        <v>1</v>
      </c>
      <c r="E165" s="488"/>
      <c r="F165" s="489"/>
      <c r="G165" s="489"/>
      <c r="H165" s="489"/>
      <c r="I165" s="489"/>
      <c r="J165" s="489"/>
      <c r="K165" s="489"/>
      <c r="L165" s="490"/>
    </row>
    <row r="166" spans="1:12" ht="32" x14ac:dyDescent="0.15">
      <c r="A166" s="448">
        <v>6.3</v>
      </c>
      <c r="B166" s="486" t="s">
        <v>1281</v>
      </c>
      <c r="C166" s="499">
        <v>4</v>
      </c>
      <c r="D166" s="487" t="s">
        <v>1</v>
      </c>
      <c r="E166" s="488"/>
      <c r="F166" s="489"/>
      <c r="G166" s="489"/>
      <c r="H166" s="489"/>
      <c r="I166" s="489"/>
      <c r="J166" s="489"/>
      <c r="K166" s="489"/>
      <c r="L166" s="490"/>
    </row>
    <row r="167" spans="1:12" ht="32" x14ac:dyDescent="0.15">
      <c r="A167" s="448">
        <v>6.4</v>
      </c>
      <c r="B167" s="486" t="s">
        <v>1280</v>
      </c>
      <c r="C167" s="499">
        <v>1</v>
      </c>
      <c r="D167" s="487" t="s">
        <v>1</v>
      </c>
      <c r="E167" s="488"/>
      <c r="F167" s="489"/>
      <c r="G167" s="489"/>
      <c r="H167" s="489"/>
      <c r="I167" s="489"/>
      <c r="J167" s="489"/>
      <c r="K167" s="489"/>
      <c r="L167" s="490"/>
    </row>
    <row r="168" spans="1:12" ht="16" x14ac:dyDescent="0.15">
      <c r="A168" s="448">
        <v>6.5</v>
      </c>
      <c r="B168" s="486" t="s">
        <v>1406</v>
      </c>
      <c r="C168" s="499">
        <v>2</v>
      </c>
      <c r="D168" s="487" t="s">
        <v>1</v>
      </c>
      <c r="E168" s="488"/>
      <c r="F168" s="489"/>
      <c r="G168" s="489"/>
      <c r="H168" s="489"/>
      <c r="I168" s="489"/>
      <c r="J168" s="489"/>
      <c r="K168" s="489"/>
      <c r="L168" s="490"/>
    </row>
    <row r="169" spans="1:12" ht="16" x14ac:dyDescent="0.15">
      <c r="A169" s="448">
        <v>6.6</v>
      </c>
      <c r="B169" s="486" t="s">
        <v>1407</v>
      </c>
      <c r="C169" s="499">
        <v>4</v>
      </c>
      <c r="D169" s="487" t="s">
        <v>1</v>
      </c>
      <c r="E169" s="488"/>
      <c r="F169" s="489"/>
      <c r="G169" s="489"/>
      <c r="H169" s="489"/>
      <c r="I169" s="489"/>
      <c r="J169" s="489"/>
      <c r="K169" s="489"/>
      <c r="L169" s="490"/>
    </row>
    <row r="170" spans="1:12" x14ac:dyDescent="0.2">
      <c r="A170" s="448"/>
      <c r="B170" s="802" t="s">
        <v>1449</v>
      </c>
      <c r="C170" s="803"/>
      <c r="D170" s="803"/>
      <c r="E170" s="803"/>
      <c r="F170" s="803"/>
      <c r="G170" s="803"/>
      <c r="H170" s="803"/>
      <c r="I170" s="803"/>
      <c r="J170" s="804"/>
      <c r="K170" s="457"/>
      <c r="L170" s="458"/>
    </row>
    <row r="171" spans="1:12" x14ac:dyDescent="0.2">
      <c r="A171" s="459">
        <v>7</v>
      </c>
      <c r="B171" s="445" t="s">
        <v>546</v>
      </c>
      <c r="C171" s="446"/>
      <c r="D171" s="446"/>
      <c r="E171" s="446"/>
      <c r="F171" s="446"/>
      <c r="G171" s="446"/>
      <c r="H171" s="446"/>
      <c r="I171" s="446"/>
      <c r="J171" s="446"/>
      <c r="K171" s="446"/>
      <c r="L171" s="447"/>
    </row>
    <row r="172" spans="1:12" ht="16" x14ac:dyDescent="0.15">
      <c r="A172" s="448">
        <v>7.1</v>
      </c>
      <c r="B172" s="486" t="s">
        <v>1282</v>
      </c>
      <c r="C172" s="499">
        <v>100</v>
      </c>
      <c r="D172" s="487" t="s">
        <v>1049</v>
      </c>
      <c r="E172" s="488"/>
      <c r="F172" s="489"/>
      <c r="G172" s="489"/>
      <c r="H172" s="489"/>
      <c r="I172" s="489"/>
      <c r="J172" s="489"/>
      <c r="K172" s="489"/>
      <c r="L172" s="490"/>
    </row>
    <row r="173" spans="1:12" ht="16" x14ac:dyDescent="0.15">
      <c r="A173" s="448">
        <v>7.2</v>
      </c>
      <c r="B173" s="486" t="s">
        <v>1283</v>
      </c>
      <c r="C173" s="499">
        <v>3</v>
      </c>
      <c r="D173" s="487" t="s">
        <v>1049</v>
      </c>
      <c r="E173" s="488"/>
      <c r="F173" s="489"/>
      <c r="G173" s="489"/>
      <c r="H173" s="489"/>
      <c r="I173" s="489"/>
      <c r="J173" s="489"/>
      <c r="K173" s="489"/>
      <c r="L173" s="490"/>
    </row>
    <row r="174" spans="1:12" ht="16" x14ac:dyDescent="0.15">
      <c r="A174" s="448">
        <v>7.3</v>
      </c>
      <c r="B174" s="486" t="s">
        <v>1267</v>
      </c>
      <c r="C174" s="499">
        <v>118.11800000000001</v>
      </c>
      <c r="D174" s="487" t="s">
        <v>892</v>
      </c>
      <c r="E174" s="488"/>
      <c r="F174" s="489"/>
      <c r="G174" s="489"/>
      <c r="H174" s="489"/>
      <c r="I174" s="489"/>
      <c r="J174" s="489"/>
      <c r="K174" s="489"/>
      <c r="L174" s="490"/>
    </row>
    <row r="175" spans="1:12" ht="16" x14ac:dyDescent="0.15">
      <c r="A175" s="448">
        <v>7.4</v>
      </c>
      <c r="B175" s="486" t="s">
        <v>1279</v>
      </c>
      <c r="C175" s="499">
        <v>1</v>
      </c>
      <c r="D175" s="487" t="s">
        <v>5</v>
      </c>
      <c r="E175" s="488"/>
      <c r="F175" s="489"/>
      <c r="G175" s="489"/>
      <c r="H175" s="489"/>
      <c r="I175" s="489"/>
      <c r="J175" s="489"/>
      <c r="K175" s="489"/>
      <c r="L175" s="490"/>
    </row>
    <row r="176" spans="1:12" x14ac:dyDescent="0.2">
      <c r="A176" s="448"/>
      <c r="B176" s="802" t="s">
        <v>1449</v>
      </c>
      <c r="C176" s="803"/>
      <c r="D176" s="803"/>
      <c r="E176" s="803"/>
      <c r="F176" s="803"/>
      <c r="G176" s="803"/>
      <c r="H176" s="803"/>
      <c r="I176" s="803"/>
      <c r="J176" s="804"/>
      <c r="K176" s="457"/>
      <c r="L176" s="458"/>
    </row>
    <row r="177" spans="1:12" ht="16" x14ac:dyDescent="0.15">
      <c r="A177" s="475">
        <v>8</v>
      </c>
      <c r="B177" s="476" t="s">
        <v>398</v>
      </c>
      <c r="C177" s="477"/>
      <c r="D177" s="477"/>
      <c r="E177" s="477"/>
      <c r="F177" s="477"/>
      <c r="G177" s="477"/>
      <c r="H177" s="477"/>
      <c r="I177" s="477"/>
      <c r="J177" s="477"/>
      <c r="K177" s="477"/>
      <c r="L177" s="478"/>
    </row>
    <row r="178" spans="1:12" ht="16" x14ac:dyDescent="0.2">
      <c r="A178" s="479">
        <v>8.1</v>
      </c>
      <c r="B178" s="480" t="s">
        <v>353</v>
      </c>
      <c r="C178" s="481"/>
      <c r="D178" s="482"/>
      <c r="E178" s="483">
        <v>1</v>
      </c>
      <c r="F178" s="484" t="s">
        <v>5</v>
      </c>
      <c r="G178" s="485"/>
      <c r="H178" s="485"/>
      <c r="I178" s="485"/>
      <c r="J178" s="485"/>
      <c r="K178" s="485"/>
      <c r="L178" s="485"/>
    </row>
    <row r="179" spans="1:12" ht="16" x14ac:dyDescent="0.15">
      <c r="A179" s="448" t="s">
        <v>764</v>
      </c>
      <c r="B179" s="486" t="s">
        <v>1299</v>
      </c>
      <c r="C179" s="499">
        <v>48</v>
      </c>
      <c r="D179" s="487" t="s">
        <v>1</v>
      </c>
      <c r="E179" s="488"/>
      <c r="F179" s="489"/>
      <c r="G179" s="489"/>
      <c r="H179" s="489"/>
      <c r="I179" s="489"/>
      <c r="J179" s="489"/>
      <c r="K179" s="489"/>
      <c r="L179" s="490"/>
    </row>
    <row r="180" spans="1:12" ht="32" x14ac:dyDescent="0.15">
      <c r="A180" s="448" t="s">
        <v>765</v>
      </c>
      <c r="B180" s="486" t="s">
        <v>1300</v>
      </c>
      <c r="C180" s="499">
        <v>12</v>
      </c>
      <c r="D180" s="487" t="s">
        <v>1</v>
      </c>
      <c r="E180" s="488"/>
      <c r="F180" s="489"/>
      <c r="G180" s="489"/>
      <c r="H180" s="489"/>
      <c r="I180" s="489"/>
      <c r="J180" s="489"/>
      <c r="K180" s="489"/>
      <c r="L180" s="490"/>
    </row>
    <row r="181" spans="1:12" ht="32" x14ac:dyDescent="0.15">
      <c r="A181" s="448" t="s">
        <v>766</v>
      </c>
      <c r="B181" s="486" t="s">
        <v>1301</v>
      </c>
      <c r="C181" s="499">
        <v>20</v>
      </c>
      <c r="D181" s="487" t="s">
        <v>1</v>
      </c>
      <c r="E181" s="488"/>
      <c r="F181" s="489"/>
      <c r="G181" s="489"/>
      <c r="H181" s="489"/>
      <c r="I181" s="489"/>
      <c r="J181" s="489"/>
      <c r="K181" s="489"/>
      <c r="L181" s="490"/>
    </row>
    <row r="182" spans="1:12" ht="16" x14ac:dyDescent="0.15">
      <c r="A182" s="448" t="s">
        <v>767</v>
      </c>
      <c r="B182" s="486" t="s">
        <v>1302</v>
      </c>
      <c r="C182" s="499">
        <v>26</v>
      </c>
      <c r="D182" s="487" t="s">
        <v>1</v>
      </c>
      <c r="E182" s="488"/>
      <c r="F182" s="489"/>
      <c r="G182" s="489"/>
      <c r="H182" s="489"/>
      <c r="I182" s="489"/>
      <c r="J182" s="489"/>
      <c r="K182" s="489"/>
      <c r="L182" s="490"/>
    </row>
    <row r="183" spans="1:12" ht="16" x14ac:dyDescent="0.15">
      <c r="A183" s="448" t="s">
        <v>768</v>
      </c>
      <c r="B183" s="486" t="s">
        <v>1303</v>
      </c>
      <c r="C183" s="499">
        <v>19</v>
      </c>
      <c r="D183" s="487" t="s">
        <v>1</v>
      </c>
      <c r="E183" s="488"/>
      <c r="F183" s="489"/>
      <c r="G183" s="489"/>
      <c r="H183" s="489"/>
      <c r="I183" s="489"/>
      <c r="J183" s="489"/>
      <c r="K183" s="489"/>
      <c r="L183" s="490"/>
    </row>
    <row r="184" spans="1:12" ht="32" x14ac:dyDescent="0.15">
      <c r="A184" s="448" t="s">
        <v>769</v>
      </c>
      <c r="B184" s="486" t="s">
        <v>1477</v>
      </c>
      <c r="C184" s="499">
        <v>30</v>
      </c>
      <c r="D184" s="487" t="s">
        <v>1</v>
      </c>
      <c r="E184" s="488"/>
      <c r="F184" s="489"/>
      <c r="G184" s="489"/>
      <c r="H184" s="489"/>
      <c r="I184" s="489"/>
      <c r="J184" s="489"/>
      <c r="K184" s="489"/>
      <c r="L184" s="490"/>
    </row>
    <row r="185" spans="1:12" ht="16" x14ac:dyDescent="0.15">
      <c r="A185" s="448" t="s">
        <v>770</v>
      </c>
      <c r="B185" s="486" t="s">
        <v>1304</v>
      </c>
      <c r="C185" s="499">
        <v>12</v>
      </c>
      <c r="D185" s="487" t="s">
        <v>1</v>
      </c>
      <c r="E185" s="488"/>
      <c r="F185" s="489"/>
      <c r="G185" s="489"/>
      <c r="H185" s="489"/>
      <c r="I185" s="489"/>
      <c r="J185" s="489"/>
      <c r="K185" s="489"/>
      <c r="L185" s="490"/>
    </row>
    <row r="186" spans="1:12" ht="16" x14ac:dyDescent="0.15">
      <c r="A186" s="448" t="s">
        <v>771</v>
      </c>
      <c r="B186" s="486" t="s">
        <v>1305</v>
      </c>
      <c r="C186" s="499">
        <v>5</v>
      </c>
      <c r="D186" s="487" t="s">
        <v>1</v>
      </c>
      <c r="E186" s="488"/>
      <c r="F186" s="489"/>
      <c r="G186" s="489"/>
      <c r="H186" s="489"/>
      <c r="I186" s="489"/>
      <c r="J186" s="489"/>
      <c r="K186" s="489"/>
      <c r="L186" s="490"/>
    </row>
    <row r="187" spans="1:12" ht="16" x14ac:dyDescent="0.15">
      <c r="A187" s="448" t="s">
        <v>772</v>
      </c>
      <c r="B187" s="486" t="s">
        <v>1476</v>
      </c>
      <c r="C187" s="499">
        <v>2</v>
      </c>
      <c r="D187" s="487" t="s">
        <v>1</v>
      </c>
      <c r="E187" s="488"/>
      <c r="F187" s="489"/>
      <c r="G187" s="489"/>
      <c r="H187" s="489"/>
      <c r="I187" s="489"/>
      <c r="J187" s="489"/>
      <c r="K187" s="489"/>
      <c r="L187" s="490"/>
    </row>
    <row r="188" spans="1:12" x14ac:dyDescent="0.2">
      <c r="A188" s="448"/>
      <c r="B188" s="802" t="s">
        <v>1449</v>
      </c>
      <c r="C188" s="803"/>
      <c r="D188" s="803"/>
      <c r="E188" s="803"/>
      <c r="F188" s="803"/>
      <c r="G188" s="803"/>
      <c r="H188" s="803"/>
      <c r="I188" s="803"/>
      <c r="J188" s="804"/>
      <c r="K188" s="457"/>
      <c r="L188" s="458"/>
    </row>
    <row r="189" spans="1:12" ht="16" x14ac:dyDescent="0.2">
      <c r="A189" s="479">
        <v>8.1999999999999993</v>
      </c>
      <c r="B189" s="480" t="s">
        <v>359</v>
      </c>
      <c r="C189" s="481"/>
      <c r="D189" s="482"/>
      <c r="E189" s="483">
        <v>1</v>
      </c>
      <c r="F189" s="484" t="s">
        <v>5</v>
      </c>
      <c r="G189" s="485"/>
      <c r="H189" s="485"/>
      <c r="I189" s="485"/>
      <c r="J189" s="485"/>
      <c r="K189" s="485"/>
      <c r="L189" s="485"/>
    </row>
    <row r="190" spans="1:12" ht="16" x14ac:dyDescent="0.15">
      <c r="A190" s="448" t="s">
        <v>780</v>
      </c>
      <c r="B190" s="486" t="s">
        <v>1306</v>
      </c>
      <c r="C190" s="499">
        <v>28</v>
      </c>
      <c r="D190" s="487" t="s">
        <v>1</v>
      </c>
      <c r="E190" s="488"/>
      <c r="F190" s="489"/>
      <c r="G190" s="489"/>
      <c r="H190" s="489"/>
      <c r="I190" s="489"/>
      <c r="J190" s="489"/>
      <c r="K190" s="489"/>
      <c r="L190" s="490"/>
    </row>
    <row r="191" spans="1:12" ht="16" x14ac:dyDescent="0.15">
      <c r="A191" s="448" t="s">
        <v>781</v>
      </c>
      <c r="B191" s="486" t="s">
        <v>1307</v>
      </c>
      <c r="C191" s="499">
        <v>11</v>
      </c>
      <c r="D191" s="487" t="s">
        <v>1</v>
      </c>
      <c r="E191" s="488"/>
      <c r="F191" s="489"/>
      <c r="G191" s="489"/>
      <c r="H191" s="489"/>
      <c r="I191" s="489"/>
      <c r="J191" s="489"/>
      <c r="K191" s="489"/>
      <c r="L191" s="490"/>
    </row>
    <row r="192" spans="1:12" ht="16" x14ac:dyDescent="0.15">
      <c r="A192" s="448" t="s">
        <v>782</v>
      </c>
      <c r="B192" s="486" t="s">
        <v>1308</v>
      </c>
      <c r="C192" s="499">
        <v>6</v>
      </c>
      <c r="D192" s="487" t="s">
        <v>1</v>
      </c>
      <c r="E192" s="488"/>
      <c r="F192" s="489"/>
      <c r="G192" s="489"/>
      <c r="H192" s="489"/>
      <c r="I192" s="489"/>
      <c r="J192" s="489"/>
      <c r="K192" s="489"/>
      <c r="L192" s="490"/>
    </row>
    <row r="193" spans="1:12" ht="16" x14ac:dyDescent="0.15">
      <c r="A193" s="448" t="s">
        <v>783</v>
      </c>
      <c r="B193" s="486" t="s">
        <v>1309</v>
      </c>
      <c r="C193" s="499">
        <v>2</v>
      </c>
      <c r="D193" s="487" t="s">
        <v>1</v>
      </c>
      <c r="E193" s="488"/>
      <c r="F193" s="489"/>
      <c r="G193" s="489"/>
      <c r="H193" s="489"/>
      <c r="I193" s="489"/>
      <c r="J193" s="489"/>
      <c r="K193" s="489"/>
      <c r="L193" s="490"/>
    </row>
    <row r="194" spans="1:12" x14ac:dyDescent="0.2">
      <c r="A194" s="448"/>
      <c r="B194" s="802" t="s">
        <v>1449</v>
      </c>
      <c r="C194" s="803"/>
      <c r="D194" s="803"/>
      <c r="E194" s="803"/>
      <c r="F194" s="803"/>
      <c r="G194" s="803"/>
      <c r="H194" s="803"/>
      <c r="I194" s="803"/>
      <c r="J194" s="804"/>
      <c r="K194" s="457"/>
      <c r="L194" s="458"/>
    </row>
    <row r="195" spans="1:12" ht="16" x14ac:dyDescent="0.2">
      <c r="A195" s="479">
        <v>8.3000000000000007</v>
      </c>
      <c r="B195" s="480" t="s">
        <v>1310</v>
      </c>
      <c r="C195" s="481"/>
      <c r="D195" s="482"/>
      <c r="E195" s="483">
        <v>1</v>
      </c>
      <c r="F195" s="484" t="s">
        <v>5</v>
      </c>
      <c r="G195" s="485"/>
      <c r="H195" s="485"/>
      <c r="I195" s="485"/>
      <c r="J195" s="485"/>
      <c r="K195" s="485"/>
      <c r="L195" s="485"/>
    </row>
    <row r="196" spans="1:12" ht="80" x14ac:dyDescent="0.15">
      <c r="A196" s="491" t="s">
        <v>800</v>
      </c>
      <c r="B196" s="505" t="s">
        <v>1454</v>
      </c>
      <c r="C196" s="499">
        <v>1</v>
      </c>
      <c r="D196" s="506" t="s">
        <v>1</v>
      </c>
      <c r="E196" s="507"/>
      <c r="F196" s="508"/>
      <c r="G196" s="508"/>
      <c r="H196" s="508"/>
      <c r="I196" s="508"/>
      <c r="J196" s="508"/>
      <c r="K196" s="492"/>
      <c r="L196" s="493"/>
    </row>
    <row r="197" spans="1:12" ht="16" x14ac:dyDescent="0.15">
      <c r="A197" s="448" t="s">
        <v>801</v>
      </c>
      <c r="B197" s="509" t="s">
        <v>1311</v>
      </c>
      <c r="C197" s="499">
        <v>6</v>
      </c>
      <c r="D197" s="510" t="s">
        <v>1</v>
      </c>
      <c r="E197" s="511"/>
      <c r="F197" s="512"/>
      <c r="G197" s="512"/>
      <c r="H197" s="512"/>
      <c r="I197" s="512"/>
      <c r="J197" s="512"/>
      <c r="K197" s="489"/>
      <c r="L197" s="490"/>
    </row>
    <row r="198" spans="1:12" ht="16" x14ac:dyDescent="0.15">
      <c r="A198" s="448" t="s">
        <v>802</v>
      </c>
      <c r="B198" s="509" t="s">
        <v>1312</v>
      </c>
      <c r="C198" s="499">
        <v>2</v>
      </c>
      <c r="D198" s="510" t="s">
        <v>1</v>
      </c>
      <c r="E198" s="511"/>
      <c r="F198" s="512"/>
      <c r="G198" s="512"/>
      <c r="H198" s="512"/>
      <c r="I198" s="512"/>
      <c r="J198" s="512"/>
      <c r="K198" s="489"/>
      <c r="L198" s="490"/>
    </row>
    <row r="199" spans="1:12" ht="16" x14ac:dyDescent="0.15">
      <c r="A199" s="448" t="s">
        <v>1526</v>
      </c>
      <c r="B199" s="509" t="s">
        <v>1478</v>
      </c>
      <c r="C199" s="499">
        <v>1</v>
      </c>
      <c r="D199" s="510" t="s">
        <v>1</v>
      </c>
      <c r="E199" s="511"/>
      <c r="F199" s="512"/>
      <c r="G199" s="512"/>
      <c r="H199" s="512"/>
      <c r="I199" s="512"/>
      <c r="J199" s="512"/>
      <c r="K199" s="489"/>
      <c r="L199" s="490"/>
    </row>
    <row r="200" spans="1:12" x14ac:dyDescent="0.2">
      <c r="A200" s="448"/>
      <c r="B200" s="822" t="s">
        <v>1449</v>
      </c>
      <c r="C200" s="823"/>
      <c r="D200" s="823"/>
      <c r="E200" s="823"/>
      <c r="F200" s="823"/>
      <c r="G200" s="823"/>
      <c r="H200" s="823"/>
      <c r="I200" s="823"/>
      <c r="J200" s="824"/>
      <c r="K200" s="457"/>
      <c r="L200" s="458"/>
    </row>
    <row r="201" spans="1:12" ht="16" x14ac:dyDescent="0.2">
      <c r="A201" s="479">
        <v>8.4</v>
      </c>
      <c r="B201" s="513" t="s">
        <v>473</v>
      </c>
      <c r="C201" s="514"/>
      <c r="D201" s="515"/>
      <c r="E201" s="516">
        <v>1</v>
      </c>
      <c r="F201" s="516" t="s">
        <v>5</v>
      </c>
      <c r="G201" s="517"/>
      <c r="H201" s="517"/>
      <c r="I201" s="517"/>
      <c r="J201" s="517"/>
      <c r="K201" s="485"/>
      <c r="L201" s="485"/>
    </row>
    <row r="202" spans="1:12" ht="16" x14ac:dyDescent="0.15">
      <c r="A202" s="448" t="s">
        <v>803</v>
      </c>
      <c r="B202" s="509" t="s">
        <v>1313</v>
      </c>
      <c r="C202" s="499">
        <v>1</v>
      </c>
      <c r="D202" s="510" t="s">
        <v>1</v>
      </c>
      <c r="E202" s="511"/>
      <c r="F202" s="512"/>
      <c r="G202" s="512"/>
      <c r="H202" s="512"/>
      <c r="I202" s="512"/>
      <c r="J202" s="512"/>
      <c r="K202" s="489"/>
      <c r="L202" s="490"/>
    </row>
    <row r="203" spans="1:12" ht="16" x14ac:dyDescent="0.15">
      <c r="A203" s="448" t="s">
        <v>804</v>
      </c>
      <c r="B203" s="509" t="s">
        <v>1314</v>
      </c>
      <c r="C203" s="499">
        <v>18</v>
      </c>
      <c r="D203" s="510" t="s">
        <v>1</v>
      </c>
      <c r="E203" s="511"/>
      <c r="F203" s="512"/>
      <c r="G203" s="512"/>
      <c r="H203" s="512"/>
      <c r="I203" s="512"/>
      <c r="J203" s="512"/>
      <c r="K203" s="489"/>
      <c r="L203" s="490"/>
    </row>
    <row r="204" spans="1:12" ht="16" x14ac:dyDescent="0.15">
      <c r="A204" s="491" t="s">
        <v>1288</v>
      </c>
      <c r="B204" s="505" t="s">
        <v>1315</v>
      </c>
      <c r="C204" s="499">
        <v>5</v>
      </c>
      <c r="D204" s="506" t="s">
        <v>1</v>
      </c>
      <c r="E204" s="507"/>
      <c r="F204" s="508"/>
      <c r="G204" s="508"/>
      <c r="H204" s="508"/>
      <c r="I204" s="508"/>
      <c r="J204" s="508"/>
      <c r="K204" s="492"/>
      <c r="L204" s="493"/>
    </row>
    <row r="205" spans="1:12" ht="16" x14ac:dyDescent="0.15">
      <c r="A205" s="448" t="s">
        <v>1287</v>
      </c>
      <c r="B205" s="509" t="s">
        <v>1316</v>
      </c>
      <c r="C205" s="499">
        <v>5</v>
      </c>
      <c r="D205" s="510" t="s">
        <v>1</v>
      </c>
      <c r="E205" s="511"/>
      <c r="F205" s="512"/>
      <c r="G205" s="512"/>
      <c r="H205" s="512"/>
      <c r="I205" s="512"/>
      <c r="J205" s="512"/>
      <c r="K205" s="489"/>
      <c r="L205" s="490"/>
    </row>
    <row r="206" spans="1:12" ht="16" x14ac:dyDescent="0.15">
      <c r="A206" s="448" t="s">
        <v>1286</v>
      </c>
      <c r="B206" s="509" t="s">
        <v>1317</v>
      </c>
      <c r="C206" s="499">
        <v>5</v>
      </c>
      <c r="D206" s="510" t="s">
        <v>1</v>
      </c>
      <c r="E206" s="511"/>
      <c r="F206" s="512"/>
      <c r="G206" s="512"/>
      <c r="H206" s="512"/>
      <c r="I206" s="512"/>
      <c r="J206" s="512"/>
      <c r="K206" s="489"/>
      <c r="L206" s="490"/>
    </row>
    <row r="207" spans="1:12" x14ac:dyDescent="0.2">
      <c r="A207" s="448"/>
      <c r="B207" s="822" t="s">
        <v>1449</v>
      </c>
      <c r="C207" s="823"/>
      <c r="D207" s="823"/>
      <c r="E207" s="823"/>
      <c r="F207" s="823"/>
      <c r="G207" s="823"/>
      <c r="H207" s="823"/>
      <c r="I207" s="823"/>
      <c r="J207" s="824"/>
      <c r="K207" s="457"/>
      <c r="L207" s="458"/>
    </row>
    <row r="208" spans="1:12" ht="16" x14ac:dyDescent="0.2">
      <c r="A208" s="479">
        <v>8.5</v>
      </c>
      <c r="B208" s="513" t="s">
        <v>1318</v>
      </c>
      <c r="C208" s="514"/>
      <c r="D208" s="515"/>
      <c r="E208" s="516">
        <v>1</v>
      </c>
      <c r="F208" s="516" t="s">
        <v>5</v>
      </c>
      <c r="G208" s="517"/>
      <c r="H208" s="517"/>
      <c r="I208" s="517"/>
      <c r="J208" s="517"/>
      <c r="K208" s="485"/>
      <c r="L208" s="485"/>
    </row>
    <row r="209" spans="1:12" ht="16" x14ac:dyDescent="0.15">
      <c r="A209" s="448" t="s">
        <v>1289</v>
      </c>
      <c r="B209" s="509" t="s">
        <v>1319</v>
      </c>
      <c r="C209" s="499">
        <v>10</v>
      </c>
      <c r="D209" s="510" t="s">
        <v>1</v>
      </c>
      <c r="E209" s="511"/>
      <c r="F209" s="512"/>
      <c r="G209" s="512"/>
      <c r="H209" s="512"/>
      <c r="I209" s="512"/>
      <c r="J209" s="512"/>
      <c r="K209" s="489"/>
      <c r="L209" s="490"/>
    </row>
    <row r="210" spans="1:12" ht="16" x14ac:dyDescent="0.15">
      <c r="A210" s="448" t="s">
        <v>1290</v>
      </c>
      <c r="B210" s="509" t="s">
        <v>1320</v>
      </c>
      <c r="C210" s="499">
        <v>1</v>
      </c>
      <c r="D210" s="510" t="s">
        <v>1</v>
      </c>
      <c r="E210" s="511"/>
      <c r="F210" s="512"/>
      <c r="G210" s="512"/>
      <c r="H210" s="512"/>
      <c r="I210" s="512"/>
      <c r="J210" s="512"/>
      <c r="K210" s="489"/>
      <c r="L210" s="490"/>
    </row>
    <row r="211" spans="1:12" ht="16" x14ac:dyDescent="0.15">
      <c r="A211" s="448" t="s">
        <v>1291</v>
      </c>
      <c r="B211" s="509" t="s">
        <v>1321</v>
      </c>
      <c r="C211" s="499">
        <v>3</v>
      </c>
      <c r="D211" s="510" t="s">
        <v>1</v>
      </c>
      <c r="E211" s="511"/>
      <c r="F211" s="512"/>
      <c r="G211" s="512"/>
      <c r="H211" s="512"/>
      <c r="I211" s="512"/>
      <c r="J211" s="512"/>
      <c r="K211" s="489"/>
      <c r="L211" s="490"/>
    </row>
    <row r="212" spans="1:12" ht="16" x14ac:dyDescent="0.15">
      <c r="A212" s="491" t="s">
        <v>1292</v>
      </c>
      <c r="B212" s="505" t="s">
        <v>1322</v>
      </c>
      <c r="C212" s="499">
        <v>1</v>
      </c>
      <c r="D212" s="506" t="s">
        <v>1</v>
      </c>
      <c r="E212" s="507"/>
      <c r="F212" s="508"/>
      <c r="G212" s="508"/>
      <c r="H212" s="508"/>
      <c r="I212" s="508"/>
      <c r="J212" s="508"/>
      <c r="K212" s="492"/>
      <c r="L212" s="493"/>
    </row>
    <row r="213" spans="1:12" ht="16" x14ac:dyDescent="0.15">
      <c r="A213" s="448" t="s">
        <v>1293</v>
      </c>
      <c r="B213" s="509" t="s">
        <v>1323</v>
      </c>
      <c r="C213" s="499">
        <v>1</v>
      </c>
      <c r="D213" s="510" t="s">
        <v>1</v>
      </c>
      <c r="E213" s="511"/>
      <c r="F213" s="512"/>
      <c r="G213" s="512"/>
      <c r="H213" s="512"/>
      <c r="I213" s="512"/>
      <c r="J213" s="512"/>
      <c r="K213" s="489"/>
      <c r="L213" s="490"/>
    </row>
    <row r="214" spans="1:12" ht="16" x14ac:dyDescent="0.15">
      <c r="A214" s="448" t="s">
        <v>1294</v>
      </c>
      <c r="B214" s="509" t="s">
        <v>1324</v>
      </c>
      <c r="C214" s="499">
        <v>1</v>
      </c>
      <c r="D214" s="510" t="s">
        <v>5</v>
      </c>
      <c r="E214" s="511"/>
      <c r="F214" s="512"/>
      <c r="G214" s="512"/>
      <c r="H214" s="512"/>
      <c r="I214" s="512"/>
      <c r="J214" s="512"/>
      <c r="K214" s="489"/>
      <c r="L214" s="490"/>
    </row>
    <row r="215" spans="1:12" x14ac:dyDescent="0.2">
      <c r="A215" s="448"/>
      <c r="B215" s="822" t="s">
        <v>1449</v>
      </c>
      <c r="C215" s="823"/>
      <c r="D215" s="823"/>
      <c r="E215" s="823"/>
      <c r="F215" s="823"/>
      <c r="G215" s="823"/>
      <c r="H215" s="823"/>
      <c r="I215" s="823"/>
      <c r="J215" s="824"/>
      <c r="K215" s="457"/>
      <c r="L215" s="458"/>
    </row>
    <row r="216" spans="1:12" ht="16" x14ac:dyDescent="0.2">
      <c r="A216" s="479">
        <v>8.6</v>
      </c>
      <c r="B216" s="695" t="s">
        <v>360</v>
      </c>
      <c r="C216" s="514"/>
      <c r="D216" s="515"/>
      <c r="E216" s="516">
        <v>1</v>
      </c>
      <c r="F216" s="516" t="s">
        <v>5</v>
      </c>
      <c r="G216" s="517"/>
      <c r="H216" s="517"/>
      <c r="I216" s="517"/>
      <c r="J216" s="517"/>
      <c r="K216" s="485"/>
      <c r="L216" s="485"/>
    </row>
    <row r="217" spans="1:12" ht="16" x14ac:dyDescent="0.15">
      <c r="A217" s="448" t="s">
        <v>1344</v>
      </c>
      <c r="B217" s="509" t="s">
        <v>1455</v>
      </c>
      <c r="C217" s="499">
        <v>1</v>
      </c>
      <c r="D217" s="510" t="s">
        <v>352</v>
      </c>
      <c r="E217" s="511"/>
      <c r="F217" s="512"/>
      <c r="G217" s="512"/>
      <c r="H217" s="512"/>
      <c r="I217" s="512"/>
      <c r="J217" s="512"/>
      <c r="K217" s="489"/>
      <c r="L217" s="490"/>
    </row>
    <row r="218" spans="1:12" ht="16" x14ac:dyDescent="0.15">
      <c r="A218" s="448" t="s">
        <v>1345</v>
      </c>
      <c r="B218" s="509" t="s">
        <v>1456</v>
      </c>
      <c r="C218" s="499">
        <v>12</v>
      </c>
      <c r="D218" s="510" t="s">
        <v>352</v>
      </c>
      <c r="E218" s="511"/>
      <c r="F218" s="512"/>
      <c r="G218" s="512"/>
      <c r="H218" s="512"/>
      <c r="I218" s="512"/>
      <c r="J218" s="512"/>
      <c r="K218" s="489"/>
      <c r="L218" s="490"/>
    </row>
    <row r="219" spans="1:12" ht="16" x14ac:dyDescent="0.15">
      <c r="A219" s="448" t="s">
        <v>1346</v>
      </c>
      <c r="B219" s="509" t="s">
        <v>1457</v>
      </c>
      <c r="C219" s="499">
        <v>14</v>
      </c>
      <c r="D219" s="510" t="s">
        <v>352</v>
      </c>
      <c r="E219" s="511"/>
      <c r="F219" s="512"/>
      <c r="G219" s="512"/>
      <c r="H219" s="512"/>
      <c r="I219" s="512"/>
      <c r="J219" s="512"/>
      <c r="K219" s="489"/>
      <c r="L219" s="490"/>
    </row>
    <row r="220" spans="1:12" ht="16" x14ac:dyDescent="0.15">
      <c r="A220" s="491" t="s">
        <v>1347</v>
      </c>
      <c r="B220" s="505" t="s">
        <v>1458</v>
      </c>
      <c r="C220" s="499">
        <v>32</v>
      </c>
      <c r="D220" s="506" t="s">
        <v>352</v>
      </c>
      <c r="E220" s="507"/>
      <c r="F220" s="508"/>
      <c r="G220" s="508"/>
      <c r="H220" s="508"/>
      <c r="I220" s="508"/>
      <c r="J220" s="508"/>
      <c r="K220" s="492"/>
      <c r="L220" s="493"/>
    </row>
    <row r="221" spans="1:12" ht="16" x14ac:dyDescent="0.15">
      <c r="A221" s="448" t="s">
        <v>1348</v>
      </c>
      <c r="B221" s="509" t="s">
        <v>1459</v>
      </c>
      <c r="C221" s="499">
        <v>305</v>
      </c>
      <c r="D221" s="510" t="s">
        <v>352</v>
      </c>
      <c r="E221" s="511"/>
      <c r="F221" s="512"/>
      <c r="G221" s="512"/>
      <c r="H221" s="512"/>
      <c r="I221" s="512"/>
      <c r="J221" s="512"/>
      <c r="K221" s="489"/>
      <c r="L221" s="490"/>
    </row>
    <row r="222" spans="1:12" ht="16" x14ac:dyDescent="0.15">
      <c r="A222" s="448" t="s">
        <v>1349</v>
      </c>
      <c r="B222" s="509" t="s">
        <v>1460</v>
      </c>
      <c r="C222" s="499">
        <v>3</v>
      </c>
      <c r="D222" s="510" t="s">
        <v>352</v>
      </c>
      <c r="E222" s="511"/>
      <c r="F222" s="512"/>
      <c r="G222" s="512"/>
      <c r="H222" s="512"/>
      <c r="I222" s="512"/>
      <c r="J222" s="512"/>
      <c r="K222" s="489"/>
      <c r="L222" s="490"/>
    </row>
    <row r="223" spans="1:12" ht="16" x14ac:dyDescent="0.15">
      <c r="A223" s="491" t="s">
        <v>1350</v>
      </c>
      <c r="B223" s="505" t="s">
        <v>1325</v>
      </c>
      <c r="C223" s="499">
        <v>3</v>
      </c>
      <c r="D223" s="506" t="s">
        <v>214</v>
      </c>
      <c r="E223" s="507"/>
      <c r="F223" s="508"/>
      <c r="G223" s="508"/>
      <c r="H223" s="508"/>
      <c r="I223" s="508"/>
      <c r="J223" s="508"/>
      <c r="K223" s="492"/>
      <c r="L223" s="493"/>
    </row>
    <row r="224" spans="1:12" ht="16" x14ac:dyDescent="0.15">
      <c r="A224" s="448" t="s">
        <v>1351</v>
      </c>
      <c r="B224" s="509" t="s">
        <v>1326</v>
      </c>
      <c r="C224" s="499">
        <v>2</v>
      </c>
      <c r="D224" s="510" t="s">
        <v>214</v>
      </c>
      <c r="E224" s="511"/>
      <c r="F224" s="512"/>
      <c r="G224" s="512"/>
      <c r="H224" s="512"/>
      <c r="I224" s="512"/>
      <c r="J224" s="512"/>
      <c r="K224" s="489"/>
      <c r="L224" s="490"/>
    </row>
    <row r="225" spans="1:12" x14ac:dyDescent="0.2">
      <c r="A225" s="448"/>
      <c r="B225" s="822" t="s">
        <v>1449</v>
      </c>
      <c r="C225" s="823"/>
      <c r="D225" s="823"/>
      <c r="E225" s="823"/>
      <c r="F225" s="823"/>
      <c r="G225" s="823"/>
      <c r="H225" s="823"/>
      <c r="I225" s="823"/>
      <c r="J225" s="824"/>
      <c r="K225" s="457"/>
      <c r="L225" s="458"/>
    </row>
    <row r="226" spans="1:12" ht="16" x14ac:dyDescent="0.2">
      <c r="A226" s="479">
        <v>8.6999999999999993</v>
      </c>
      <c r="B226" s="513" t="s">
        <v>1327</v>
      </c>
      <c r="C226" s="514"/>
      <c r="D226" s="515"/>
      <c r="E226" s="516">
        <v>1</v>
      </c>
      <c r="F226" s="516" t="s">
        <v>5</v>
      </c>
      <c r="G226" s="517"/>
      <c r="H226" s="517"/>
      <c r="I226" s="517"/>
      <c r="J226" s="517"/>
      <c r="K226" s="485"/>
      <c r="L226" s="485"/>
    </row>
    <row r="227" spans="1:12" ht="16" x14ac:dyDescent="0.15">
      <c r="A227" s="448" t="s">
        <v>1352</v>
      </c>
      <c r="B227" s="509" t="s">
        <v>1328</v>
      </c>
      <c r="C227" s="499">
        <v>80</v>
      </c>
      <c r="D227" s="510" t="s">
        <v>98</v>
      </c>
      <c r="E227" s="511"/>
      <c r="F227" s="512"/>
      <c r="G227" s="512"/>
      <c r="H227" s="512"/>
      <c r="I227" s="512"/>
      <c r="J227" s="512"/>
      <c r="K227" s="489"/>
      <c r="L227" s="490"/>
    </row>
    <row r="228" spans="1:12" ht="16" x14ac:dyDescent="0.15">
      <c r="A228" s="448" t="s">
        <v>1353</v>
      </c>
      <c r="B228" s="509" t="s">
        <v>1329</v>
      </c>
      <c r="C228" s="499">
        <v>5</v>
      </c>
      <c r="D228" s="510" t="s">
        <v>98</v>
      </c>
      <c r="E228" s="511"/>
      <c r="F228" s="512"/>
      <c r="G228" s="512"/>
      <c r="H228" s="512"/>
      <c r="I228" s="512"/>
      <c r="J228" s="512"/>
      <c r="K228" s="489"/>
      <c r="L228" s="490"/>
    </row>
    <row r="229" spans="1:12" ht="16" x14ac:dyDescent="0.15">
      <c r="A229" s="448" t="s">
        <v>1354</v>
      </c>
      <c r="B229" s="509" t="s">
        <v>1330</v>
      </c>
      <c r="C229" s="499">
        <v>3</v>
      </c>
      <c r="D229" s="510" t="s">
        <v>172</v>
      </c>
      <c r="E229" s="511"/>
      <c r="F229" s="512"/>
      <c r="G229" s="512"/>
      <c r="H229" s="512"/>
      <c r="I229" s="512"/>
      <c r="J229" s="512"/>
      <c r="K229" s="489"/>
      <c r="L229" s="490"/>
    </row>
    <row r="230" spans="1:12" ht="16" x14ac:dyDescent="0.15">
      <c r="A230" s="491" t="s">
        <v>1355</v>
      </c>
      <c r="B230" s="505" t="s">
        <v>1331</v>
      </c>
      <c r="C230" s="499">
        <v>2</v>
      </c>
      <c r="D230" s="506" t="s">
        <v>172</v>
      </c>
      <c r="E230" s="507"/>
      <c r="F230" s="508"/>
      <c r="G230" s="508"/>
      <c r="H230" s="508"/>
      <c r="I230" s="508"/>
      <c r="J230" s="508"/>
      <c r="K230" s="492"/>
      <c r="L230" s="493"/>
    </row>
    <row r="231" spans="1:12" ht="16" x14ac:dyDescent="0.15">
      <c r="A231" s="448" t="s">
        <v>1356</v>
      </c>
      <c r="B231" s="509" t="s">
        <v>1332</v>
      </c>
      <c r="C231" s="499">
        <v>16</v>
      </c>
      <c r="D231" s="510" t="s">
        <v>172</v>
      </c>
      <c r="E231" s="511"/>
      <c r="F231" s="512"/>
      <c r="G231" s="512"/>
      <c r="H231" s="512"/>
      <c r="I231" s="512"/>
      <c r="J231" s="512"/>
      <c r="K231" s="489"/>
      <c r="L231" s="490"/>
    </row>
    <row r="232" spans="1:12" ht="16" x14ac:dyDescent="0.15">
      <c r="A232" s="448" t="s">
        <v>1357</v>
      </c>
      <c r="B232" s="509" t="s">
        <v>1333</v>
      </c>
      <c r="C232" s="499">
        <v>1</v>
      </c>
      <c r="D232" s="510" t="s">
        <v>172</v>
      </c>
      <c r="E232" s="511"/>
      <c r="F232" s="512"/>
      <c r="G232" s="512"/>
      <c r="H232" s="512"/>
      <c r="I232" s="512"/>
      <c r="J232" s="512"/>
      <c r="K232" s="489"/>
      <c r="L232" s="490"/>
    </row>
    <row r="233" spans="1:12" ht="16" x14ac:dyDescent="0.15">
      <c r="A233" s="491" t="s">
        <v>1358</v>
      </c>
      <c r="B233" s="505" t="s">
        <v>366</v>
      </c>
      <c r="C233" s="499">
        <v>1</v>
      </c>
      <c r="D233" s="506" t="s">
        <v>172</v>
      </c>
      <c r="E233" s="507"/>
      <c r="F233" s="508"/>
      <c r="G233" s="508"/>
      <c r="H233" s="508"/>
      <c r="I233" s="508"/>
      <c r="J233" s="508"/>
      <c r="K233" s="492"/>
      <c r="L233" s="493"/>
    </row>
    <row r="234" spans="1:12" x14ac:dyDescent="0.2">
      <c r="A234" s="448"/>
      <c r="B234" s="802" t="s">
        <v>1449</v>
      </c>
      <c r="C234" s="803"/>
      <c r="D234" s="803"/>
      <c r="E234" s="803"/>
      <c r="F234" s="803"/>
      <c r="G234" s="803"/>
      <c r="H234" s="803"/>
      <c r="I234" s="803"/>
      <c r="J234" s="804"/>
      <c r="K234" s="457"/>
      <c r="L234" s="458"/>
    </row>
    <row r="235" spans="1:12" ht="16" x14ac:dyDescent="0.2">
      <c r="A235" s="479">
        <v>8.8000000000000007</v>
      </c>
      <c r="B235" s="513" t="s">
        <v>1334</v>
      </c>
      <c r="C235" s="514"/>
      <c r="D235" s="515"/>
      <c r="E235" s="516">
        <v>1</v>
      </c>
      <c r="F235" s="516" t="s">
        <v>5</v>
      </c>
      <c r="G235" s="517"/>
      <c r="H235" s="517"/>
      <c r="I235" s="517"/>
      <c r="J235" s="517"/>
      <c r="K235" s="485"/>
      <c r="L235" s="485"/>
    </row>
    <row r="236" spans="1:12" ht="16" x14ac:dyDescent="0.15">
      <c r="A236" s="448" t="s">
        <v>1359</v>
      </c>
      <c r="B236" s="509" t="s">
        <v>1335</v>
      </c>
      <c r="C236" s="499">
        <v>1</v>
      </c>
      <c r="D236" s="510" t="s">
        <v>5</v>
      </c>
      <c r="E236" s="511"/>
      <c r="F236" s="512"/>
      <c r="G236" s="512"/>
      <c r="H236" s="512"/>
      <c r="I236" s="512"/>
      <c r="J236" s="512"/>
      <c r="K236" s="489"/>
      <c r="L236" s="490"/>
    </row>
    <row r="237" spans="1:12" ht="16" x14ac:dyDescent="0.15">
      <c r="A237" s="448" t="s">
        <v>1360</v>
      </c>
      <c r="B237" s="509" t="s">
        <v>1336</v>
      </c>
      <c r="C237" s="499">
        <v>1</v>
      </c>
      <c r="D237" s="510" t="s">
        <v>5</v>
      </c>
      <c r="E237" s="511"/>
      <c r="F237" s="512"/>
      <c r="G237" s="512"/>
      <c r="H237" s="512"/>
      <c r="I237" s="512"/>
      <c r="J237" s="512"/>
      <c r="K237" s="489"/>
      <c r="L237" s="490"/>
    </row>
    <row r="238" spans="1:12" ht="16" x14ac:dyDescent="0.15">
      <c r="A238" s="448" t="s">
        <v>1361</v>
      </c>
      <c r="B238" s="509" t="s">
        <v>1337</v>
      </c>
      <c r="C238" s="499">
        <v>1</v>
      </c>
      <c r="D238" s="510" t="s">
        <v>5</v>
      </c>
      <c r="E238" s="511"/>
      <c r="F238" s="512"/>
      <c r="G238" s="512"/>
      <c r="H238" s="512"/>
      <c r="I238" s="512"/>
      <c r="J238" s="512"/>
      <c r="K238" s="489"/>
      <c r="L238" s="490"/>
    </row>
    <row r="239" spans="1:12" ht="16" x14ac:dyDescent="0.15">
      <c r="A239" s="491" t="s">
        <v>1362</v>
      </c>
      <c r="B239" s="505" t="s">
        <v>1461</v>
      </c>
      <c r="C239" s="499">
        <v>1</v>
      </c>
      <c r="D239" s="506" t="s">
        <v>352</v>
      </c>
      <c r="E239" s="507"/>
      <c r="F239" s="508"/>
      <c r="G239" s="508"/>
      <c r="H239" s="508"/>
      <c r="I239" s="508"/>
      <c r="J239" s="508"/>
      <c r="K239" s="492"/>
      <c r="L239" s="493"/>
    </row>
    <row r="240" spans="1:12" ht="16" x14ac:dyDescent="0.15">
      <c r="A240" s="448" t="s">
        <v>1363</v>
      </c>
      <c r="B240" s="509" t="s">
        <v>1462</v>
      </c>
      <c r="C240" s="499">
        <v>1</v>
      </c>
      <c r="D240" s="510" t="s">
        <v>352</v>
      </c>
      <c r="E240" s="511"/>
      <c r="F240" s="512"/>
      <c r="G240" s="512"/>
      <c r="H240" s="512"/>
      <c r="I240" s="512"/>
      <c r="J240" s="512"/>
      <c r="K240" s="489"/>
      <c r="L240" s="490"/>
    </row>
    <row r="241" spans="1:12" ht="16" x14ac:dyDescent="0.15">
      <c r="A241" s="491" t="s">
        <v>1364</v>
      </c>
      <c r="B241" s="505" t="s">
        <v>1338</v>
      </c>
      <c r="C241" s="499">
        <v>1</v>
      </c>
      <c r="D241" s="506" t="s">
        <v>1</v>
      </c>
      <c r="E241" s="507"/>
      <c r="F241" s="508"/>
      <c r="G241" s="508"/>
      <c r="H241" s="508"/>
      <c r="I241" s="508"/>
      <c r="J241" s="508"/>
      <c r="K241" s="492"/>
      <c r="L241" s="493"/>
    </row>
    <row r="242" spans="1:12" ht="16" x14ac:dyDescent="0.15">
      <c r="A242" s="448" t="s">
        <v>1365</v>
      </c>
      <c r="B242" s="509" t="s">
        <v>1339</v>
      </c>
      <c r="C242" s="499">
        <v>100</v>
      </c>
      <c r="D242" s="510" t="s">
        <v>1</v>
      </c>
      <c r="E242" s="511"/>
      <c r="F242" s="512"/>
      <c r="G242" s="512"/>
      <c r="H242" s="512"/>
      <c r="I242" s="512"/>
      <c r="J242" s="512"/>
      <c r="K242" s="489"/>
      <c r="L242" s="490"/>
    </row>
    <row r="243" spans="1:12" ht="16" x14ac:dyDescent="0.15">
      <c r="A243" s="448" t="s">
        <v>1366</v>
      </c>
      <c r="B243" s="509" t="s">
        <v>1340</v>
      </c>
      <c r="C243" s="499">
        <v>200</v>
      </c>
      <c r="D243" s="510" t="s">
        <v>1</v>
      </c>
      <c r="E243" s="511"/>
      <c r="F243" s="512"/>
      <c r="G243" s="512"/>
      <c r="H243" s="512"/>
      <c r="I243" s="512"/>
      <c r="J243" s="512"/>
      <c r="K243" s="489"/>
      <c r="L243" s="490"/>
    </row>
    <row r="244" spans="1:12" ht="16" x14ac:dyDescent="0.15">
      <c r="A244" s="448" t="s">
        <v>1367</v>
      </c>
      <c r="B244" s="509" t="s">
        <v>1341</v>
      </c>
      <c r="C244" s="499">
        <v>1</v>
      </c>
      <c r="D244" s="510" t="s">
        <v>1</v>
      </c>
      <c r="E244" s="511"/>
      <c r="F244" s="512"/>
      <c r="G244" s="512"/>
      <c r="H244" s="512"/>
      <c r="I244" s="512"/>
      <c r="J244" s="512"/>
      <c r="K244" s="489"/>
      <c r="L244" s="490"/>
    </row>
    <row r="245" spans="1:12" ht="16" x14ac:dyDescent="0.15">
      <c r="A245" s="491" t="s">
        <v>1368</v>
      </c>
      <c r="B245" s="505" t="s">
        <v>1342</v>
      </c>
      <c r="C245" s="499">
        <v>5</v>
      </c>
      <c r="D245" s="506" t="s">
        <v>1</v>
      </c>
      <c r="E245" s="507"/>
      <c r="F245" s="508"/>
      <c r="G245" s="508"/>
      <c r="H245" s="508"/>
      <c r="I245" s="508"/>
      <c r="J245" s="508"/>
      <c r="K245" s="492"/>
      <c r="L245" s="493"/>
    </row>
    <row r="246" spans="1:12" ht="16" x14ac:dyDescent="0.15">
      <c r="A246" s="448" t="s">
        <v>1369</v>
      </c>
      <c r="B246" s="509" t="s">
        <v>1343</v>
      </c>
      <c r="C246" s="499">
        <v>1</v>
      </c>
      <c r="D246" s="510" t="s">
        <v>5</v>
      </c>
      <c r="E246" s="511"/>
      <c r="F246" s="512"/>
      <c r="G246" s="512"/>
      <c r="H246" s="512"/>
      <c r="I246" s="512"/>
      <c r="J246" s="512"/>
      <c r="K246" s="489"/>
      <c r="L246" s="490"/>
    </row>
    <row r="247" spans="1:12" x14ac:dyDescent="0.2">
      <c r="A247" s="448"/>
      <c r="B247" s="822" t="s">
        <v>1449</v>
      </c>
      <c r="C247" s="823"/>
      <c r="D247" s="823"/>
      <c r="E247" s="823"/>
      <c r="F247" s="823"/>
      <c r="G247" s="823"/>
      <c r="H247" s="823"/>
      <c r="I247" s="823"/>
      <c r="J247" s="824"/>
      <c r="K247" s="457"/>
      <c r="L247" s="458"/>
    </row>
    <row r="248" spans="1:12" ht="16" x14ac:dyDescent="0.15">
      <c r="A248" s="475">
        <v>9</v>
      </c>
      <c r="B248" s="476" t="s">
        <v>392</v>
      </c>
      <c r="C248" s="477"/>
      <c r="D248" s="477"/>
      <c r="E248" s="477"/>
      <c r="F248" s="477"/>
      <c r="G248" s="477"/>
      <c r="H248" s="477"/>
      <c r="I248" s="477"/>
      <c r="J248" s="477"/>
      <c r="K248" s="477"/>
      <c r="L248" s="478"/>
    </row>
    <row r="249" spans="1:12" ht="16" x14ac:dyDescent="0.2">
      <c r="A249" s="479">
        <v>9.1</v>
      </c>
      <c r="B249" s="480" t="s">
        <v>244</v>
      </c>
      <c r="C249" s="481"/>
      <c r="D249" s="482"/>
      <c r="E249" s="483">
        <v>1</v>
      </c>
      <c r="F249" s="484" t="s">
        <v>5</v>
      </c>
      <c r="G249" s="485"/>
      <c r="H249" s="485"/>
      <c r="I249" s="485"/>
      <c r="J249" s="485"/>
      <c r="K249" s="485"/>
      <c r="L249" s="485"/>
    </row>
    <row r="250" spans="1:12" ht="16" x14ac:dyDescent="0.15">
      <c r="A250" s="448" t="s">
        <v>686</v>
      </c>
      <c r="B250" s="486" t="s">
        <v>1463</v>
      </c>
      <c r="C250" s="499">
        <v>36</v>
      </c>
      <c r="D250" s="487" t="s">
        <v>98</v>
      </c>
      <c r="E250" s="488"/>
      <c r="F250" s="489"/>
      <c r="G250" s="489"/>
      <c r="H250" s="489"/>
      <c r="I250" s="489"/>
      <c r="J250" s="489"/>
      <c r="K250" s="489"/>
      <c r="L250" s="490"/>
    </row>
    <row r="251" spans="1:12" ht="16" x14ac:dyDescent="0.15">
      <c r="A251" s="448" t="s">
        <v>687</v>
      </c>
      <c r="B251" s="486" t="s">
        <v>1464</v>
      </c>
      <c r="C251" s="499">
        <v>45</v>
      </c>
      <c r="D251" s="487" t="s">
        <v>98</v>
      </c>
      <c r="E251" s="488"/>
      <c r="F251" s="489"/>
      <c r="G251" s="489"/>
      <c r="H251" s="489"/>
      <c r="I251" s="489"/>
      <c r="J251" s="489"/>
      <c r="K251" s="489"/>
      <c r="L251" s="490"/>
    </row>
    <row r="252" spans="1:12" ht="16" x14ac:dyDescent="0.15">
      <c r="A252" s="448" t="s">
        <v>688</v>
      </c>
      <c r="B252" s="486" t="s">
        <v>1465</v>
      </c>
      <c r="C252" s="499">
        <v>6</v>
      </c>
      <c r="D252" s="487" t="s">
        <v>352</v>
      </c>
      <c r="E252" s="488"/>
      <c r="F252" s="489"/>
      <c r="G252" s="489"/>
      <c r="H252" s="489"/>
      <c r="I252" s="489"/>
      <c r="J252" s="489"/>
      <c r="K252" s="489"/>
      <c r="L252" s="490"/>
    </row>
    <row r="253" spans="1:12" ht="16" x14ac:dyDescent="0.15">
      <c r="A253" s="448" t="s">
        <v>689</v>
      </c>
      <c r="B253" s="486" t="s">
        <v>1466</v>
      </c>
      <c r="C253" s="499">
        <v>1</v>
      </c>
      <c r="D253" s="487" t="s">
        <v>352</v>
      </c>
      <c r="E253" s="488"/>
      <c r="F253" s="489"/>
      <c r="G253" s="489"/>
      <c r="H253" s="489"/>
      <c r="I253" s="489"/>
      <c r="J253" s="489"/>
      <c r="K253" s="489"/>
      <c r="L253" s="490"/>
    </row>
    <row r="254" spans="1:12" ht="16" x14ac:dyDescent="0.15">
      <c r="A254" s="448" t="s">
        <v>435</v>
      </c>
      <c r="B254" s="486" t="s">
        <v>930</v>
      </c>
      <c r="C254" s="499">
        <v>10</v>
      </c>
      <c r="D254" s="487" t="s">
        <v>352</v>
      </c>
      <c r="E254" s="488"/>
      <c r="F254" s="489"/>
      <c r="G254" s="489"/>
      <c r="H254" s="489"/>
      <c r="I254" s="489"/>
      <c r="J254" s="489"/>
      <c r="K254" s="489"/>
      <c r="L254" s="490"/>
    </row>
    <row r="255" spans="1:12" ht="16" x14ac:dyDescent="0.15">
      <c r="A255" s="448" t="s">
        <v>690</v>
      </c>
      <c r="B255" s="486" t="s">
        <v>991</v>
      </c>
      <c r="C255" s="499">
        <v>11</v>
      </c>
      <c r="D255" s="487" t="s">
        <v>352</v>
      </c>
      <c r="E255" s="488"/>
      <c r="F255" s="489"/>
      <c r="G255" s="489"/>
      <c r="H255" s="489"/>
      <c r="I255" s="489"/>
      <c r="J255" s="489"/>
      <c r="K255" s="489"/>
      <c r="L255" s="490"/>
    </row>
    <row r="256" spans="1:12" ht="16" x14ac:dyDescent="0.15">
      <c r="A256" s="448" t="s">
        <v>891</v>
      </c>
      <c r="B256" s="486" t="s">
        <v>1268</v>
      </c>
      <c r="C256" s="499">
        <v>5</v>
      </c>
      <c r="D256" s="487" t="s">
        <v>352</v>
      </c>
      <c r="E256" s="488"/>
      <c r="F256" s="489"/>
      <c r="G256" s="489"/>
      <c r="H256" s="489"/>
      <c r="I256" s="489"/>
      <c r="J256" s="489"/>
      <c r="K256" s="489"/>
      <c r="L256" s="490"/>
    </row>
    <row r="257" spans="1:12" ht="16" x14ac:dyDescent="0.15">
      <c r="A257" s="448" t="s">
        <v>1370</v>
      </c>
      <c r="B257" s="486" t="s">
        <v>931</v>
      </c>
      <c r="C257" s="499">
        <v>11</v>
      </c>
      <c r="D257" s="487" t="s">
        <v>352</v>
      </c>
      <c r="E257" s="488"/>
      <c r="F257" s="489"/>
      <c r="G257" s="489"/>
      <c r="H257" s="489"/>
      <c r="I257" s="489"/>
      <c r="J257" s="489"/>
      <c r="K257" s="489"/>
      <c r="L257" s="490"/>
    </row>
    <row r="258" spans="1:12" ht="16" x14ac:dyDescent="0.15">
      <c r="A258" s="448" t="s">
        <v>1371</v>
      </c>
      <c r="B258" s="486" t="s">
        <v>932</v>
      </c>
      <c r="C258" s="499">
        <v>5</v>
      </c>
      <c r="D258" s="487" t="s">
        <v>352</v>
      </c>
      <c r="E258" s="488"/>
      <c r="F258" s="489"/>
      <c r="G258" s="489"/>
      <c r="H258" s="489"/>
      <c r="I258" s="489"/>
      <c r="J258" s="489"/>
      <c r="K258" s="489"/>
      <c r="L258" s="490"/>
    </row>
    <row r="259" spans="1:12" ht="16" x14ac:dyDescent="0.15">
      <c r="A259" s="448" t="s">
        <v>1372</v>
      </c>
      <c r="B259" s="486" t="s">
        <v>971</v>
      </c>
      <c r="C259" s="499">
        <v>10</v>
      </c>
      <c r="D259" s="487" t="s">
        <v>352</v>
      </c>
      <c r="E259" s="488"/>
      <c r="F259" s="489"/>
      <c r="G259" s="489"/>
      <c r="H259" s="489"/>
      <c r="I259" s="489"/>
      <c r="J259" s="489"/>
      <c r="K259" s="489"/>
      <c r="L259" s="490"/>
    </row>
    <row r="260" spans="1:12" ht="16" x14ac:dyDescent="0.15">
      <c r="A260" s="448" t="s">
        <v>1373</v>
      </c>
      <c r="B260" s="486" t="s">
        <v>933</v>
      </c>
      <c r="C260" s="499">
        <v>13</v>
      </c>
      <c r="D260" s="487" t="s">
        <v>352</v>
      </c>
      <c r="E260" s="488"/>
      <c r="F260" s="489"/>
      <c r="G260" s="489"/>
      <c r="H260" s="489"/>
      <c r="I260" s="489"/>
      <c r="J260" s="489"/>
      <c r="K260" s="489"/>
      <c r="L260" s="490"/>
    </row>
    <row r="261" spans="1:12" ht="16" x14ac:dyDescent="0.15">
      <c r="A261" s="448" t="s">
        <v>1374</v>
      </c>
      <c r="B261" s="486" t="s">
        <v>972</v>
      </c>
      <c r="C261" s="499">
        <v>10</v>
      </c>
      <c r="D261" s="487" t="s">
        <v>352</v>
      </c>
      <c r="E261" s="488"/>
      <c r="F261" s="489"/>
      <c r="G261" s="489"/>
      <c r="H261" s="489"/>
      <c r="I261" s="489"/>
      <c r="J261" s="489"/>
      <c r="K261" s="489"/>
      <c r="L261" s="490"/>
    </row>
    <row r="262" spans="1:12" ht="32" x14ac:dyDescent="0.15">
      <c r="A262" s="448" t="s">
        <v>1375</v>
      </c>
      <c r="B262" s="486" t="s">
        <v>934</v>
      </c>
      <c r="C262" s="499">
        <v>1</v>
      </c>
      <c r="D262" s="487" t="s">
        <v>5</v>
      </c>
      <c r="E262" s="488"/>
      <c r="F262" s="489"/>
      <c r="G262" s="489"/>
      <c r="H262" s="489"/>
      <c r="I262" s="489"/>
      <c r="J262" s="489"/>
      <c r="K262" s="489"/>
      <c r="L262" s="490"/>
    </row>
    <row r="263" spans="1:12" x14ac:dyDescent="0.2">
      <c r="A263" s="448"/>
      <c r="B263" s="802" t="s">
        <v>1449</v>
      </c>
      <c r="C263" s="803"/>
      <c r="D263" s="803"/>
      <c r="E263" s="803"/>
      <c r="F263" s="803"/>
      <c r="G263" s="803"/>
      <c r="H263" s="803"/>
      <c r="I263" s="803"/>
      <c r="J263" s="804"/>
      <c r="K263" s="457"/>
      <c r="L263" s="458"/>
    </row>
    <row r="264" spans="1:12" ht="16" x14ac:dyDescent="0.2">
      <c r="A264" s="479">
        <v>9.1999999999999993</v>
      </c>
      <c r="B264" s="480" t="s">
        <v>1269</v>
      </c>
      <c r="C264" s="481"/>
      <c r="D264" s="482"/>
      <c r="E264" s="483">
        <v>1</v>
      </c>
      <c r="F264" s="484" t="s">
        <v>5</v>
      </c>
      <c r="G264" s="485"/>
      <c r="H264" s="485"/>
      <c r="I264" s="485"/>
      <c r="J264" s="485"/>
      <c r="K264" s="485"/>
      <c r="L264" s="485"/>
    </row>
    <row r="265" spans="1:12" ht="16" x14ac:dyDescent="0.15">
      <c r="A265" s="448" t="s">
        <v>378</v>
      </c>
      <c r="B265" s="486" t="s">
        <v>1463</v>
      </c>
      <c r="C265" s="499">
        <v>258</v>
      </c>
      <c r="D265" s="487" t="s">
        <v>98</v>
      </c>
      <c r="E265" s="488"/>
      <c r="F265" s="489"/>
      <c r="G265" s="489"/>
      <c r="H265" s="489"/>
      <c r="I265" s="489"/>
      <c r="J265" s="489"/>
      <c r="K265" s="489"/>
      <c r="L265" s="490"/>
    </row>
    <row r="266" spans="1:12" ht="16" x14ac:dyDescent="0.15">
      <c r="A266" s="448" t="s">
        <v>380</v>
      </c>
      <c r="B266" s="486" t="s">
        <v>1467</v>
      </c>
      <c r="C266" s="499">
        <v>21</v>
      </c>
      <c r="D266" s="487" t="s">
        <v>98</v>
      </c>
      <c r="E266" s="488"/>
      <c r="F266" s="489"/>
      <c r="G266" s="489"/>
      <c r="H266" s="489"/>
      <c r="I266" s="489"/>
      <c r="J266" s="489"/>
      <c r="K266" s="489"/>
      <c r="L266" s="490"/>
    </row>
    <row r="267" spans="1:12" ht="16" x14ac:dyDescent="0.15">
      <c r="A267" s="448" t="s">
        <v>381</v>
      </c>
      <c r="B267" s="486" t="s">
        <v>932</v>
      </c>
      <c r="C267" s="499">
        <v>59</v>
      </c>
      <c r="D267" s="487" t="s">
        <v>352</v>
      </c>
      <c r="E267" s="488"/>
      <c r="F267" s="489"/>
      <c r="G267" s="489"/>
      <c r="H267" s="489"/>
      <c r="I267" s="489"/>
      <c r="J267" s="489"/>
      <c r="K267" s="489"/>
      <c r="L267" s="490"/>
    </row>
    <row r="268" spans="1:12" ht="16" x14ac:dyDescent="0.15">
      <c r="A268" s="448" t="s">
        <v>1376</v>
      </c>
      <c r="B268" s="486" t="s">
        <v>1270</v>
      </c>
      <c r="C268" s="499">
        <v>9</v>
      </c>
      <c r="D268" s="487" t="s">
        <v>352</v>
      </c>
      <c r="E268" s="488"/>
      <c r="F268" s="489"/>
      <c r="G268" s="489"/>
      <c r="H268" s="489"/>
      <c r="I268" s="489"/>
      <c r="J268" s="489"/>
      <c r="K268" s="489"/>
      <c r="L268" s="490"/>
    </row>
    <row r="269" spans="1:12" ht="16" x14ac:dyDescent="0.15">
      <c r="A269" s="448" t="s">
        <v>1377</v>
      </c>
      <c r="B269" s="486" t="s">
        <v>1271</v>
      </c>
      <c r="C269" s="499">
        <v>2</v>
      </c>
      <c r="D269" s="487" t="s">
        <v>352</v>
      </c>
      <c r="E269" s="488"/>
      <c r="F269" s="489"/>
      <c r="G269" s="489"/>
      <c r="H269" s="489"/>
      <c r="I269" s="489"/>
      <c r="J269" s="489"/>
      <c r="K269" s="489"/>
      <c r="L269" s="490"/>
    </row>
    <row r="270" spans="1:12" ht="32" x14ac:dyDescent="0.15">
      <c r="A270" s="448" t="s">
        <v>1378</v>
      </c>
      <c r="B270" s="486" t="s">
        <v>934</v>
      </c>
      <c r="C270" s="499">
        <v>1</v>
      </c>
      <c r="D270" s="487" t="s">
        <v>5</v>
      </c>
      <c r="E270" s="488"/>
      <c r="F270" s="489"/>
      <c r="G270" s="489"/>
      <c r="H270" s="489"/>
      <c r="I270" s="489"/>
      <c r="J270" s="489"/>
      <c r="K270" s="489"/>
      <c r="L270" s="490"/>
    </row>
    <row r="271" spans="1:12" x14ac:dyDescent="0.2">
      <c r="A271" s="448"/>
      <c r="B271" s="802" t="s">
        <v>1449</v>
      </c>
      <c r="C271" s="803"/>
      <c r="D271" s="803"/>
      <c r="E271" s="803"/>
      <c r="F271" s="803"/>
      <c r="G271" s="803"/>
      <c r="H271" s="803"/>
      <c r="I271" s="803"/>
      <c r="J271" s="804"/>
      <c r="K271" s="457"/>
      <c r="L271" s="458"/>
    </row>
    <row r="272" spans="1:12" ht="16" x14ac:dyDescent="0.2">
      <c r="A272" s="479">
        <v>9.3000000000000007</v>
      </c>
      <c r="B272" s="480" t="s">
        <v>507</v>
      </c>
      <c r="C272" s="481"/>
      <c r="D272" s="482"/>
      <c r="E272" s="483">
        <v>1</v>
      </c>
      <c r="F272" s="484" t="s">
        <v>5</v>
      </c>
      <c r="G272" s="485"/>
      <c r="H272" s="485"/>
      <c r="I272" s="485"/>
      <c r="J272" s="485"/>
      <c r="K272" s="485"/>
      <c r="L272" s="485"/>
    </row>
    <row r="273" spans="1:12" ht="16" x14ac:dyDescent="0.15">
      <c r="A273" s="491" t="s">
        <v>382</v>
      </c>
      <c r="B273" s="505" t="s">
        <v>1494</v>
      </c>
      <c r="C273" s="499">
        <v>10</v>
      </c>
      <c r="D273" s="506" t="s">
        <v>98</v>
      </c>
      <c r="E273" s="507"/>
      <c r="F273" s="508"/>
      <c r="G273" s="508"/>
      <c r="H273" s="508"/>
      <c r="I273" s="508"/>
      <c r="J273" s="508"/>
      <c r="K273" s="492"/>
      <c r="L273" s="493"/>
    </row>
    <row r="274" spans="1:12" ht="16" x14ac:dyDescent="0.15">
      <c r="A274" s="448" t="s">
        <v>447</v>
      </c>
      <c r="B274" s="486" t="s">
        <v>1495</v>
      </c>
      <c r="C274" s="499">
        <v>50</v>
      </c>
      <c r="D274" s="487" t="s">
        <v>98</v>
      </c>
      <c r="E274" s="488"/>
      <c r="F274" s="489"/>
      <c r="G274" s="489"/>
      <c r="H274" s="489"/>
      <c r="I274" s="489"/>
      <c r="J274" s="489"/>
      <c r="K274" s="489"/>
      <c r="L274" s="490"/>
    </row>
    <row r="275" spans="1:12" ht="16" x14ac:dyDescent="0.15">
      <c r="A275" s="448" t="s">
        <v>383</v>
      </c>
      <c r="B275" s="486" t="s">
        <v>1272</v>
      </c>
      <c r="C275" s="499">
        <v>1</v>
      </c>
      <c r="D275" s="487" t="s">
        <v>1</v>
      </c>
      <c r="E275" s="488"/>
      <c r="F275" s="489"/>
      <c r="G275" s="489"/>
      <c r="H275" s="489"/>
      <c r="I275" s="489"/>
      <c r="J275" s="489"/>
      <c r="K275" s="489"/>
      <c r="L275" s="490"/>
    </row>
    <row r="276" spans="1:12" ht="16" x14ac:dyDescent="0.15">
      <c r="A276" s="448" t="s">
        <v>384</v>
      </c>
      <c r="B276" s="486" t="s">
        <v>1505</v>
      </c>
      <c r="C276" s="499">
        <v>2</v>
      </c>
      <c r="D276" s="487" t="s">
        <v>1</v>
      </c>
      <c r="E276" s="488"/>
      <c r="F276" s="489"/>
      <c r="G276" s="489"/>
      <c r="H276" s="489"/>
      <c r="I276" s="489"/>
      <c r="J276" s="489"/>
      <c r="K276" s="489"/>
      <c r="L276" s="490"/>
    </row>
    <row r="277" spans="1:12" ht="16" x14ac:dyDescent="0.15">
      <c r="A277" s="448" t="s">
        <v>1379</v>
      </c>
      <c r="B277" s="486" t="s">
        <v>973</v>
      </c>
      <c r="C277" s="499">
        <v>1</v>
      </c>
      <c r="D277" s="487" t="s">
        <v>1</v>
      </c>
      <c r="E277" s="488"/>
      <c r="F277" s="489"/>
      <c r="G277" s="489"/>
      <c r="H277" s="489"/>
      <c r="I277" s="489"/>
      <c r="J277" s="489"/>
      <c r="K277" s="489"/>
      <c r="L277" s="490"/>
    </row>
    <row r="278" spans="1:12" ht="16" x14ac:dyDescent="0.15">
      <c r="A278" s="448" t="s">
        <v>1380</v>
      </c>
      <c r="B278" s="509" t="s">
        <v>1506</v>
      </c>
      <c r="C278" s="499">
        <v>2</v>
      </c>
      <c r="D278" s="510" t="s">
        <v>1</v>
      </c>
      <c r="E278" s="511"/>
      <c r="F278" s="512"/>
      <c r="G278" s="512"/>
      <c r="H278" s="512"/>
      <c r="I278" s="512"/>
      <c r="J278" s="512"/>
      <c r="K278" s="489"/>
      <c r="L278" s="490"/>
    </row>
    <row r="279" spans="1:12" ht="16" x14ac:dyDescent="0.15">
      <c r="A279" s="448" t="s">
        <v>1381</v>
      </c>
      <c r="B279" s="509" t="s">
        <v>1498</v>
      </c>
      <c r="C279" s="499">
        <v>1</v>
      </c>
      <c r="D279" s="510" t="s">
        <v>1</v>
      </c>
      <c r="E279" s="511"/>
      <c r="F279" s="512"/>
      <c r="G279" s="512"/>
      <c r="H279" s="512"/>
      <c r="I279" s="512"/>
      <c r="J279" s="512"/>
      <c r="K279" s="489"/>
      <c r="L279" s="490"/>
    </row>
    <row r="280" spans="1:12" ht="16" x14ac:dyDescent="0.15">
      <c r="A280" s="448" t="s">
        <v>1496</v>
      </c>
      <c r="B280" s="486" t="s">
        <v>1507</v>
      </c>
      <c r="C280" s="499">
        <v>6</v>
      </c>
      <c r="D280" s="487" t="s">
        <v>98</v>
      </c>
      <c r="E280" s="488"/>
      <c r="F280" s="489"/>
      <c r="G280" s="489"/>
      <c r="H280" s="489"/>
      <c r="I280" s="489"/>
      <c r="J280" s="489"/>
      <c r="K280" s="489"/>
      <c r="L280" s="490"/>
    </row>
    <row r="281" spans="1:12" ht="16" x14ac:dyDescent="0.15">
      <c r="A281" s="448" t="s">
        <v>1497</v>
      </c>
      <c r="B281" s="509" t="s">
        <v>1514</v>
      </c>
      <c r="C281" s="499">
        <v>1</v>
      </c>
      <c r="D281" s="510" t="s">
        <v>1</v>
      </c>
      <c r="E281" s="511"/>
      <c r="F281" s="512"/>
      <c r="G281" s="512"/>
      <c r="H281" s="512"/>
      <c r="I281" s="512"/>
      <c r="J281" s="512"/>
      <c r="K281" s="489"/>
      <c r="L281" s="490"/>
    </row>
    <row r="282" spans="1:12" ht="32" x14ac:dyDescent="0.15">
      <c r="A282" s="448" t="s">
        <v>1499</v>
      </c>
      <c r="B282" s="509" t="s">
        <v>1508</v>
      </c>
      <c r="C282" s="499">
        <v>1</v>
      </c>
      <c r="D282" s="510" t="s">
        <v>5</v>
      </c>
      <c r="E282" s="511"/>
      <c r="F282" s="512"/>
      <c r="G282" s="512"/>
      <c r="H282" s="512"/>
      <c r="I282" s="512"/>
      <c r="J282" s="512"/>
      <c r="K282" s="489"/>
      <c r="L282" s="490"/>
    </row>
    <row r="283" spans="1:12" x14ac:dyDescent="0.2">
      <c r="A283" s="448"/>
      <c r="B283" s="822" t="s">
        <v>1449</v>
      </c>
      <c r="C283" s="823"/>
      <c r="D283" s="823"/>
      <c r="E283" s="823"/>
      <c r="F283" s="823"/>
      <c r="G283" s="823"/>
      <c r="H283" s="823"/>
      <c r="I283" s="823"/>
      <c r="J283" s="824"/>
      <c r="K283" s="457"/>
      <c r="L283" s="458"/>
    </row>
    <row r="284" spans="1:12" ht="16" x14ac:dyDescent="0.2">
      <c r="A284" s="479">
        <v>9.4</v>
      </c>
      <c r="B284" s="513" t="s">
        <v>1273</v>
      </c>
      <c r="C284" s="514"/>
      <c r="D284" s="515"/>
      <c r="E284" s="516">
        <v>1</v>
      </c>
      <c r="F284" s="516" t="s">
        <v>5</v>
      </c>
      <c r="G284" s="517"/>
      <c r="H284" s="517"/>
      <c r="I284" s="517"/>
      <c r="J284" s="517"/>
      <c r="K284" s="485"/>
      <c r="L284" s="485"/>
    </row>
    <row r="285" spans="1:12" ht="16" x14ac:dyDescent="0.15">
      <c r="A285" s="448" t="s">
        <v>379</v>
      </c>
      <c r="B285" s="509" t="s">
        <v>417</v>
      </c>
      <c r="C285" s="499">
        <v>17.82</v>
      </c>
      <c r="D285" s="510" t="s">
        <v>637</v>
      </c>
      <c r="E285" s="511"/>
      <c r="F285" s="512"/>
      <c r="G285" s="512"/>
      <c r="H285" s="512"/>
      <c r="I285" s="512"/>
      <c r="J285" s="512"/>
      <c r="K285" s="489"/>
      <c r="L285" s="490"/>
    </row>
    <row r="286" spans="1:12" ht="16" x14ac:dyDescent="0.15">
      <c r="A286" s="448" t="s">
        <v>396</v>
      </c>
      <c r="B286" s="509" t="s">
        <v>1274</v>
      </c>
      <c r="C286" s="499">
        <v>2.8079999999999998</v>
      </c>
      <c r="D286" s="510" t="s">
        <v>637</v>
      </c>
      <c r="E286" s="511"/>
      <c r="F286" s="512"/>
      <c r="G286" s="512"/>
      <c r="H286" s="512"/>
      <c r="I286" s="512"/>
      <c r="J286" s="512"/>
      <c r="K286" s="489"/>
      <c r="L286" s="490"/>
    </row>
    <row r="287" spans="1:12" ht="16" x14ac:dyDescent="0.15">
      <c r="A287" s="491" t="s">
        <v>397</v>
      </c>
      <c r="B287" s="505" t="s">
        <v>1275</v>
      </c>
      <c r="C287" s="499">
        <v>592</v>
      </c>
      <c r="D287" s="506" t="s">
        <v>352</v>
      </c>
      <c r="E287" s="507"/>
      <c r="F287" s="508"/>
      <c r="G287" s="508"/>
      <c r="H287" s="508"/>
      <c r="I287" s="508"/>
      <c r="J287" s="508"/>
      <c r="K287" s="492"/>
      <c r="L287" s="493"/>
    </row>
    <row r="288" spans="1:12" ht="16" x14ac:dyDescent="0.15">
      <c r="A288" s="448" t="s">
        <v>1382</v>
      </c>
      <c r="B288" s="509" t="s">
        <v>413</v>
      </c>
      <c r="C288" s="826"/>
      <c r="D288" s="827"/>
      <c r="E288" s="827"/>
      <c r="F288" s="827"/>
      <c r="G288" s="827"/>
      <c r="H288" s="827"/>
      <c r="I288" s="827"/>
      <c r="J288" s="827"/>
      <c r="K288" s="827"/>
      <c r="L288" s="828"/>
    </row>
    <row r="289" spans="1:12" ht="16" x14ac:dyDescent="0.15">
      <c r="A289" s="491" t="s">
        <v>1383</v>
      </c>
      <c r="B289" s="505" t="s">
        <v>929</v>
      </c>
      <c r="C289" s="499">
        <v>588.72</v>
      </c>
      <c r="D289" s="506" t="s">
        <v>298</v>
      </c>
      <c r="E289" s="507"/>
      <c r="F289" s="508"/>
      <c r="G289" s="508"/>
      <c r="H289" s="508"/>
      <c r="I289" s="508"/>
      <c r="J289" s="508"/>
      <c r="K289" s="492"/>
      <c r="L289" s="493"/>
    </row>
    <row r="290" spans="1:12" ht="16" x14ac:dyDescent="0.15">
      <c r="A290" s="448" t="s">
        <v>1384</v>
      </c>
      <c r="B290" s="486" t="s">
        <v>350</v>
      </c>
      <c r="C290" s="499">
        <v>4.17</v>
      </c>
      <c r="D290" s="487" t="s">
        <v>298</v>
      </c>
      <c r="E290" s="488"/>
      <c r="F290" s="489"/>
      <c r="G290" s="489"/>
      <c r="H290" s="489"/>
      <c r="I290" s="489"/>
      <c r="J290" s="489"/>
      <c r="K290" s="489"/>
      <c r="L290" s="490"/>
    </row>
    <row r="291" spans="1:12" ht="16" x14ac:dyDescent="0.15">
      <c r="A291" s="448" t="s">
        <v>1385</v>
      </c>
      <c r="B291" s="486" t="s">
        <v>1468</v>
      </c>
      <c r="C291" s="499">
        <v>9</v>
      </c>
      <c r="D291" s="487" t="s">
        <v>98</v>
      </c>
      <c r="E291" s="488"/>
      <c r="F291" s="489"/>
      <c r="G291" s="489"/>
      <c r="H291" s="489"/>
      <c r="I291" s="489"/>
      <c r="J291" s="489"/>
      <c r="K291" s="489"/>
      <c r="L291" s="490"/>
    </row>
    <row r="292" spans="1:12" ht="16" x14ac:dyDescent="0.15">
      <c r="A292" s="448" t="s">
        <v>1386</v>
      </c>
      <c r="B292" s="486" t="s">
        <v>1463</v>
      </c>
      <c r="C292" s="499">
        <v>6</v>
      </c>
      <c r="D292" s="487" t="s">
        <v>98</v>
      </c>
      <c r="E292" s="488"/>
      <c r="F292" s="489"/>
      <c r="G292" s="489"/>
      <c r="H292" s="489"/>
      <c r="I292" s="489"/>
      <c r="J292" s="489"/>
      <c r="K292" s="489"/>
      <c r="L292" s="490"/>
    </row>
    <row r="293" spans="1:12" ht="16" x14ac:dyDescent="0.15">
      <c r="A293" s="448" t="s">
        <v>1387</v>
      </c>
      <c r="B293" s="486" t="s">
        <v>1465</v>
      </c>
      <c r="C293" s="499">
        <v>6</v>
      </c>
      <c r="D293" s="487" t="s">
        <v>352</v>
      </c>
      <c r="E293" s="488"/>
      <c r="F293" s="489"/>
      <c r="G293" s="489"/>
      <c r="H293" s="489"/>
      <c r="I293" s="489"/>
      <c r="J293" s="489"/>
      <c r="K293" s="489"/>
      <c r="L293" s="490"/>
    </row>
    <row r="294" spans="1:12" ht="16" x14ac:dyDescent="0.15">
      <c r="A294" s="448" t="s">
        <v>1388</v>
      </c>
      <c r="B294" s="509" t="s">
        <v>930</v>
      </c>
      <c r="C294" s="499">
        <v>2</v>
      </c>
      <c r="D294" s="510" t="s">
        <v>352</v>
      </c>
      <c r="E294" s="511"/>
      <c r="F294" s="512"/>
      <c r="G294" s="512"/>
      <c r="H294" s="512"/>
      <c r="I294" s="512"/>
      <c r="J294" s="512"/>
      <c r="K294" s="489"/>
      <c r="L294" s="490"/>
    </row>
    <row r="295" spans="1:12" ht="32" x14ac:dyDescent="0.15">
      <c r="A295" s="448" t="s">
        <v>1389</v>
      </c>
      <c r="B295" s="509" t="s">
        <v>934</v>
      </c>
      <c r="C295" s="499">
        <v>1</v>
      </c>
      <c r="D295" s="510" t="s">
        <v>5</v>
      </c>
      <c r="E295" s="511"/>
      <c r="F295" s="512"/>
      <c r="G295" s="512"/>
      <c r="H295" s="512"/>
      <c r="I295" s="512"/>
      <c r="J295" s="512"/>
      <c r="K295" s="489"/>
      <c r="L295" s="490"/>
    </row>
    <row r="296" spans="1:12" x14ac:dyDescent="0.2">
      <c r="A296" s="448"/>
      <c r="B296" s="822" t="s">
        <v>1449</v>
      </c>
      <c r="C296" s="823"/>
      <c r="D296" s="823"/>
      <c r="E296" s="823"/>
      <c r="F296" s="823"/>
      <c r="G296" s="823"/>
      <c r="H296" s="823"/>
      <c r="I296" s="823"/>
      <c r="J296" s="824"/>
      <c r="K296" s="457"/>
      <c r="L296" s="458"/>
    </row>
    <row r="297" spans="1:12" ht="16" x14ac:dyDescent="0.2">
      <c r="A297" s="479">
        <v>9.5</v>
      </c>
      <c r="B297" s="513" t="s">
        <v>351</v>
      </c>
      <c r="C297" s="514"/>
      <c r="D297" s="515"/>
      <c r="E297" s="516">
        <v>1</v>
      </c>
      <c r="F297" s="516" t="s">
        <v>5</v>
      </c>
      <c r="G297" s="517"/>
      <c r="H297" s="517"/>
      <c r="I297" s="517"/>
      <c r="J297" s="517"/>
      <c r="K297" s="485"/>
      <c r="L297" s="485"/>
    </row>
    <row r="298" spans="1:12" ht="32" x14ac:dyDescent="0.15">
      <c r="A298" s="448" t="s">
        <v>385</v>
      </c>
      <c r="B298" s="509" t="s">
        <v>1509</v>
      </c>
      <c r="C298" s="499">
        <v>1</v>
      </c>
      <c r="D298" s="510" t="s">
        <v>1</v>
      </c>
      <c r="E298" s="511"/>
      <c r="F298" s="512"/>
      <c r="G298" s="512"/>
      <c r="H298" s="512"/>
      <c r="I298" s="512"/>
      <c r="J298" s="512"/>
      <c r="K298" s="489"/>
      <c r="L298" s="490"/>
    </row>
    <row r="299" spans="1:12" ht="32" x14ac:dyDescent="0.15">
      <c r="A299" s="448" t="s">
        <v>466</v>
      </c>
      <c r="B299" s="509" t="s">
        <v>1510</v>
      </c>
      <c r="C299" s="499">
        <v>1</v>
      </c>
      <c r="D299" s="510" t="s">
        <v>1</v>
      </c>
      <c r="E299" s="511"/>
      <c r="F299" s="512"/>
      <c r="G299" s="512"/>
      <c r="H299" s="512"/>
      <c r="I299" s="512"/>
      <c r="J299" s="512"/>
      <c r="K299" s="489"/>
      <c r="L299" s="490"/>
    </row>
    <row r="300" spans="1:12" ht="48" x14ac:dyDescent="0.15">
      <c r="A300" s="491" t="s">
        <v>467</v>
      </c>
      <c r="B300" s="505" t="s">
        <v>1481</v>
      </c>
      <c r="C300" s="499">
        <v>2</v>
      </c>
      <c r="D300" s="506" t="s">
        <v>1</v>
      </c>
      <c r="E300" s="507"/>
      <c r="F300" s="508"/>
      <c r="G300" s="508"/>
      <c r="H300" s="508"/>
      <c r="I300" s="508"/>
      <c r="J300" s="508"/>
      <c r="K300" s="492"/>
      <c r="L300" s="493"/>
    </row>
    <row r="301" spans="1:12" ht="48" x14ac:dyDescent="0.15">
      <c r="A301" s="448" t="s">
        <v>1390</v>
      </c>
      <c r="B301" s="486" t="s">
        <v>1479</v>
      </c>
      <c r="C301" s="499">
        <v>2</v>
      </c>
      <c r="D301" s="487" t="s">
        <v>1</v>
      </c>
      <c r="E301" s="488"/>
      <c r="F301" s="489"/>
      <c r="G301" s="489"/>
      <c r="H301" s="489"/>
      <c r="I301" s="489"/>
      <c r="J301" s="489"/>
      <c r="K301" s="489"/>
      <c r="L301" s="490"/>
    </row>
    <row r="302" spans="1:12" ht="64" x14ac:dyDescent="0.15">
      <c r="A302" s="448" t="s">
        <v>1391</v>
      </c>
      <c r="B302" s="486" t="s">
        <v>987</v>
      </c>
      <c r="C302" s="499">
        <v>6</v>
      </c>
      <c r="D302" s="487" t="s">
        <v>1</v>
      </c>
      <c r="E302" s="488"/>
      <c r="F302" s="489"/>
      <c r="G302" s="489"/>
      <c r="H302" s="489"/>
      <c r="I302" s="489"/>
      <c r="J302" s="489"/>
      <c r="K302" s="489"/>
      <c r="L302" s="490"/>
    </row>
    <row r="303" spans="1:12" ht="48" x14ac:dyDescent="0.15">
      <c r="A303" s="448" t="s">
        <v>1392</v>
      </c>
      <c r="B303" s="486" t="s">
        <v>1480</v>
      </c>
      <c r="C303" s="499">
        <v>2</v>
      </c>
      <c r="D303" s="487" t="s">
        <v>1</v>
      </c>
      <c r="E303" s="488"/>
      <c r="F303" s="489"/>
      <c r="G303" s="489"/>
      <c r="H303" s="489"/>
      <c r="I303" s="489"/>
      <c r="J303" s="489"/>
      <c r="K303" s="489"/>
      <c r="L303" s="490"/>
    </row>
    <row r="304" spans="1:12" ht="16" x14ac:dyDescent="0.15">
      <c r="A304" s="448" t="s">
        <v>1393</v>
      </c>
      <c r="B304" s="486" t="s">
        <v>977</v>
      </c>
      <c r="C304" s="499">
        <v>5</v>
      </c>
      <c r="D304" s="487" t="s">
        <v>352</v>
      </c>
      <c r="E304" s="488"/>
      <c r="F304" s="489"/>
      <c r="G304" s="489"/>
      <c r="H304" s="489"/>
      <c r="I304" s="489"/>
      <c r="J304" s="489"/>
      <c r="K304" s="489"/>
      <c r="L304" s="490"/>
    </row>
    <row r="305" spans="1:12" ht="32" x14ac:dyDescent="0.15">
      <c r="A305" s="448" t="s">
        <v>1394</v>
      </c>
      <c r="B305" s="509" t="s">
        <v>1277</v>
      </c>
      <c r="C305" s="499">
        <v>5</v>
      </c>
      <c r="D305" s="510" t="s">
        <v>1</v>
      </c>
      <c r="E305" s="511"/>
      <c r="F305" s="512"/>
      <c r="G305" s="512"/>
      <c r="H305" s="512"/>
      <c r="I305" s="512"/>
      <c r="J305" s="512"/>
      <c r="K305" s="489"/>
      <c r="L305" s="490"/>
    </row>
    <row r="306" spans="1:12" ht="16" x14ac:dyDescent="0.15">
      <c r="A306" s="448" t="s">
        <v>1395</v>
      </c>
      <c r="B306" s="509" t="s">
        <v>935</v>
      </c>
      <c r="C306" s="499">
        <v>2</v>
      </c>
      <c r="D306" s="510" t="s">
        <v>1</v>
      </c>
      <c r="E306" s="511"/>
      <c r="F306" s="512"/>
      <c r="G306" s="512"/>
      <c r="H306" s="512"/>
      <c r="I306" s="512"/>
      <c r="J306" s="512"/>
      <c r="K306" s="489"/>
      <c r="L306" s="490"/>
    </row>
    <row r="307" spans="1:12" ht="16" x14ac:dyDescent="0.15">
      <c r="A307" s="448" t="s">
        <v>1396</v>
      </c>
      <c r="B307" s="509" t="s">
        <v>992</v>
      </c>
      <c r="C307" s="499">
        <v>6</v>
      </c>
      <c r="D307" s="510" t="s">
        <v>1</v>
      </c>
      <c r="E307" s="511"/>
      <c r="F307" s="512"/>
      <c r="G307" s="512"/>
      <c r="H307" s="512"/>
      <c r="I307" s="512"/>
      <c r="J307" s="512"/>
      <c r="K307" s="489"/>
      <c r="L307" s="490"/>
    </row>
    <row r="308" spans="1:12" ht="16" x14ac:dyDescent="0.15">
      <c r="A308" s="491" t="s">
        <v>1397</v>
      </c>
      <c r="B308" s="505" t="s">
        <v>1278</v>
      </c>
      <c r="C308" s="499">
        <v>1</v>
      </c>
      <c r="D308" s="506" t="s">
        <v>1</v>
      </c>
      <c r="E308" s="507"/>
      <c r="F308" s="508"/>
      <c r="G308" s="508"/>
      <c r="H308" s="508"/>
      <c r="I308" s="508"/>
      <c r="J308" s="508"/>
      <c r="K308" s="492"/>
      <c r="L308" s="493"/>
    </row>
    <row r="309" spans="1:12" ht="16" x14ac:dyDescent="0.15">
      <c r="A309" s="448" t="s">
        <v>1398</v>
      </c>
      <c r="B309" s="509" t="s">
        <v>936</v>
      </c>
      <c r="C309" s="499">
        <v>1</v>
      </c>
      <c r="D309" s="510" t="s">
        <v>5</v>
      </c>
      <c r="E309" s="511"/>
      <c r="F309" s="512"/>
      <c r="G309" s="512"/>
      <c r="H309" s="512"/>
      <c r="I309" s="512"/>
      <c r="J309" s="512"/>
      <c r="K309" s="489"/>
      <c r="L309" s="490"/>
    </row>
    <row r="310" spans="1:12" x14ac:dyDescent="0.2">
      <c r="A310" s="448"/>
      <c r="B310" s="822" t="s">
        <v>1449</v>
      </c>
      <c r="C310" s="823"/>
      <c r="D310" s="823"/>
      <c r="E310" s="823"/>
      <c r="F310" s="823"/>
      <c r="G310" s="823"/>
      <c r="H310" s="823"/>
      <c r="I310" s="823"/>
      <c r="J310" s="824"/>
      <c r="K310" s="457"/>
      <c r="L310" s="458"/>
    </row>
    <row r="311" spans="1:12" x14ac:dyDescent="0.15">
      <c r="A311" s="470"/>
      <c r="B311" s="495" t="s">
        <v>1450</v>
      </c>
      <c r="C311" s="825" t="s">
        <v>1451</v>
      </c>
      <c r="D311" s="825"/>
      <c r="E311" s="825"/>
      <c r="F311" s="825"/>
      <c r="G311" s="825"/>
      <c r="H311" s="825"/>
      <c r="I311" s="825"/>
      <c r="J311" s="825"/>
      <c r="K311" s="496" t="s">
        <v>1445</v>
      </c>
      <c r="L311" s="497"/>
    </row>
    <row r="314" spans="1:12" ht="19" x14ac:dyDescent="0.25">
      <c r="I314" s="498" t="s">
        <v>1446</v>
      </c>
      <c r="J314" s="498"/>
      <c r="K314" s="498"/>
    </row>
    <row r="315" spans="1:12" ht="19" x14ac:dyDescent="0.25">
      <c r="I315" s="498" t="s">
        <v>1447</v>
      </c>
      <c r="J315" s="498"/>
      <c r="K315" s="498"/>
    </row>
    <row r="316" spans="1:12" ht="19" x14ac:dyDescent="0.25">
      <c r="I316" s="498" t="s">
        <v>1448</v>
      </c>
      <c r="J316" s="498"/>
      <c r="K316" s="498"/>
    </row>
  </sheetData>
  <mergeCells count="57">
    <mergeCell ref="B310:J310"/>
    <mergeCell ref="C311:J311"/>
    <mergeCell ref="B247:J247"/>
    <mergeCell ref="B263:J263"/>
    <mergeCell ref="B271:J271"/>
    <mergeCell ref="B283:J283"/>
    <mergeCell ref="C288:L288"/>
    <mergeCell ref="B296:J296"/>
    <mergeCell ref="B234:J234"/>
    <mergeCell ref="B153:J153"/>
    <mergeCell ref="B157:J157"/>
    <mergeCell ref="B162:J162"/>
    <mergeCell ref="B170:J170"/>
    <mergeCell ref="B176:J176"/>
    <mergeCell ref="B188:J188"/>
    <mergeCell ref="B194:J194"/>
    <mergeCell ref="B200:J200"/>
    <mergeCell ref="B207:J207"/>
    <mergeCell ref="B215:J215"/>
    <mergeCell ref="B225:J225"/>
    <mergeCell ref="B141:J141"/>
    <mergeCell ref="B60:J60"/>
    <mergeCell ref="B65:J65"/>
    <mergeCell ref="B69:J69"/>
    <mergeCell ref="B73:J73"/>
    <mergeCell ref="B77:J77"/>
    <mergeCell ref="B87:J87"/>
    <mergeCell ref="B96:J96"/>
    <mergeCell ref="B99:J99"/>
    <mergeCell ref="B108:J108"/>
    <mergeCell ref="B116:J116"/>
    <mergeCell ref="B128:J128"/>
    <mergeCell ref="B49:J49"/>
    <mergeCell ref="B55:J55"/>
    <mergeCell ref="K10:K13"/>
    <mergeCell ref="L10:L13"/>
    <mergeCell ref="C12:C14"/>
    <mergeCell ref="D12:D14"/>
    <mergeCell ref="E12:E13"/>
    <mergeCell ref="F12:F13"/>
    <mergeCell ref="G12:G13"/>
    <mergeCell ref="H12:H13"/>
    <mergeCell ref="B19:J19"/>
    <mergeCell ref="B25:J25"/>
    <mergeCell ref="B34:J34"/>
    <mergeCell ref="B39:J39"/>
    <mergeCell ref="B42:J42"/>
    <mergeCell ref="A1:L3"/>
    <mergeCell ref="A9:L9"/>
    <mergeCell ref="A10:A13"/>
    <mergeCell ref="B10:B13"/>
    <mergeCell ref="C10:D11"/>
    <mergeCell ref="E10:F11"/>
    <mergeCell ref="G10:G11"/>
    <mergeCell ref="H10:H11"/>
    <mergeCell ref="I10:I13"/>
    <mergeCell ref="J10:J1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F5F88-4C91-4772-999C-466AFFE75D59}">
  <sheetPr codeName="Sheet16"/>
  <dimension ref="A1:F52"/>
  <sheetViews>
    <sheetView view="pageBreakPreview" zoomScale="90" zoomScaleNormal="100" zoomScaleSheetLayoutView="90" workbookViewId="0">
      <selection activeCell="A9" sqref="A9:D10"/>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5</v>
      </c>
      <c r="B9" s="753" t="s">
        <v>398</v>
      </c>
      <c r="C9" s="696"/>
      <c r="D9" s="696"/>
      <c r="E9" s="696"/>
      <c r="F9" s="696"/>
    </row>
    <row r="10" spans="1:6" ht="17" x14ac:dyDescent="0.15">
      <c r="A10" s="769">
        <v>5.5</v>
      </c>
      <c r="B10" s="768" t="s">
        <v>1581</v>
      </c>
      <c r="C10" s="696">
        <v>1</v>
      </c>
      <c r="D10" s="761"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9386B-BC77-4647-893F-0394C69A5529}">
  <sheetPr codeName="Sheet17"/>
  <dimension ref="A1:F52"/>
  <sheetViews>
    <sheetView view="pageBreakPreview" zoomScale="90" zoomScaleNormal="100" zoomScaleSheetLayoutView="90" workbookViewId="0">
      <selection activeCell="A9" sqref="A9:D10"/>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5</v>
      </c>
      <c r="B9" s="753" t="s">
        <v>398</v>
      </c>
      <c r="C9" s="696"/>
      <c r="D9" s="696"/>
      <c r="E9" s="696"/>
      <c r="F9" s="696"/>
    </row>
    <row r="10" spans="1:6" ht="17" x14ac:dyDescent="0.15">
      <c r="A10" s="769">
        <v>5.4</v>
      </c>
      <c r="B10" s="768" t="s">
        <v>1575</v>
      </c>
      <c r="C10" s="696">
        <v>1</v>
      </c>
      <c r="D10" s="761"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748E0-5CBD-4BBE-B527-0BF05639DAC7}">
  <sheetPr codeName="Sheet18"/>
  <dimension ref="A1:F52"/>
  <sheetViews>
    <sheetView view="pageBreakPreview" zoomScale="90" zoomScaleNormal="100" zoomScaleSheetLayoutView="90" workbookViewId="0">
      <selection activeCell="A9" sqref="A9:D10"/>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5</v>
      </c>
      <c r="B9" s="753" t="s">
        <v>398</v>
      </c>
      <c r="C9" s="696"/>
      <c r="D9" s="696"/>
      <c r="E9" s="696"/>
      <c r="F9" s="696"/>
    </row>
    <row r="10" spans="1:6" ht="17" x14ac:dyDescent="0.15">
      <c r="A10" s="769">
        <v>5.3</v>
      </c>
      <c r="B10" s="768" t="s">
        <v>1572</v>
      </c>
      <c r="C10" s="696">
        <v>1</v>
      </c>
      <c r="D10" s="761"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7BAF4-8F2D-4B7A-90B9-3D1870FCC2B0}">
  <sheetPr codeName="Sheet19"/>
  <dimension ref="A1:F52"/>
  <sheetViews>
    <sheetView view="pageBreakPreview" zoomScale="90" zoomScaleNormal="100" zoomScaleSheetLayoutView="90" workbookViewId="0">
      <selection activeCell="A9" sqref="A9:D10"/>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5</v>
      </c>
      <c r="B9" s="753" t="s">
        <v>398</v>
      </c>
      <c r="C9" s="696"/>
      <c r="D9" s="696"/>
      <c r="E9" s="696"/>
      <c r="F9" s="696"/>
    </row>
    <row r="10" spans="1:6" ht="17" x14ac:dyDescent="0.15">
      <c r="A10" s="769">
        <v>5.2</v>
      </c>
      <c r="B10" s="768" t="s">
        <v>371</v>
      </c>
      <c r="C10" s="696">
        <v>1</v>
      </c>
      <c r="D10" s="761"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709"/>
      <c r="C37" s="831"/>
      <c r="D37" s="831"/>
      <c r="E37" s="696"/>
      <c r="F37" s="696"/>
    </row>
    <row r="38" spans="1:6" ht="16" x14ac:dyDescent="0.15">
      <c r="A38" s="709">
        <v>2</v>
      </c>
      <c r="B38" s="709"/>
      <c r="C38" s="831"/>
      <c r="D38" s="831"/>
      <c r="E38" s="696"/>
      <c r="F38" s="696"/>
    </row>
    <row r="39" spans="1:6" ht="16" x14ac:dyDescent="0.15">
      <c r="A39" s="709">
        <v>3</v>
      </c>
      <c r="B39" s="709"/>
      <c r="C39" s="831"/>
      <c r="D39" s="831"/>
      <c r="E39" s="696"/>
      <c r="F39" s="696"/>
    </row>
    <row r="40" spans="1:6" ht="16" x14ac:dyDescent="0.15">
      <c r="A40" s="709">
        <v>4</v>
      </c>
      <c r="B40" s="709"/>
      <c r="C40" s="831"/>
      <c r="D40" s="831"/>
      <c r="E40" s="696"/>
      <c r="F40" s="696"/>
    </row>
    <row r="41" spans="1:6" ht="16" x14ac:dyDescent="0.15">
      <c r="A41" s="709">
        <v>5</v>
      </c>
      <c r="B41" s="709"/>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43BF4-DD8B-4CE5-B683-E6C59E8C362A}">
  <sheetPr codeName="Sheet20"/>
  <dimension ref="A1:F52"/>
  <sheetViews>
    <sheetView view="pageBreakPreview" zoomScale="90" zoomScaleNormal="100" zoomScaleSheetLayoutView="90" workbookViewId="0">
      <selection activeCell="A9" sqref="A9:B10"/>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5</v>
      </c>
      <c r="B9" s="753" t="s">
        <v>398</v>
      </c>
      <c r="C9" s="696"/>
      <c r="D9" s="696"/>
      <c r="E9" s="696"/>
      <c r="F9" s="696"/>
    </row>
    <row r="10" spans="1:6" ht="17" x14ac:dyDescent="0.15">
      <c r="A10" s="769">
        <v>5.0999999999999996</v>
      </c>
      <c r="B10" s="768" t="s">
        <v>354</v>
      </c>
      <c r="C10" s="696">
        <v>1</v>
      </c>
      <c r="D10" s="761"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67C8A-73BC-4CF1-959A-481742B43A35}">
  <sheetPr codeName="Sheet21"/>
  <dimension ref="A1:F52"/>
  <sheetViews>
    <sheetView view="pageBreakPreview" zoomScale="90" zoomScaleNormal="100" zoomScaleSheetLayoutView="90" workbookViewId="0">
      <selection activeCell="B17" sqref="B17"/>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66" t="s">
        <v>1696</v>
      </c>
      <c r="B10" s="767" t="s">
        <v>546</v>
      </c>
      <c r="C10" s="696">
        <v>1</v>
      </c>
      <c r="D10" s="699"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6BEF9-2142-4AAE-BE0D-7E56C546CA0C}">
  <sheetPr codeName="Sheet22"/>
  <dimension ref="A1:F53"/>
  <sheetViews>
    <sheetView view="pageBreakPreview" zoomScale="90" zoomScaleNormal="100" zoomScaleSheetLayoutView="90" workbookViewId="0">
      <selection activeCell="A5" sqref="A5"/>
    </sheetView>
  </sheetViews>
  <sheetFormatPr baseColWidth="10" defaultColWidth="8.83203125" defaultRowHeight="13" x14ac:dyDescent="0.15"/>
  <cols>
    <col min="1" max="1" width="8.1640625"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t="s">
        <v>1557</v>
      </c>
      <c r="B10" s="753" t="s">
        <v>744</v>
      </c>
      <c r="C10" s="696"/>
      <c r="D10" s="696"/>
      <c r="E10" s="696"/>
      <c r="F10" s="696"/>
    </row>
    <row r="11" spans="1:6" ht="34" x14ac:dyDescent="0.15">
      <c r="A11" s="748" t="s">
        <v>1694</v>
      </c>
      <c r="B11" s="749" t="s">
        <v>1695</v>
      </c>
      <c r="C11" s="765">
        <v>1</v>
      </c>
      <c r="D11" s="764" t="s">
        <v>1</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A49:E49"/>
    <mergeCell ref="C51:F51"/>
    <mergeCell ref="C52:F52"/>
    <mergeCell ref="C53:F53"/>
    <mergeCell ref="B43:E43"/>
    <mergeCell ref="A44:F44"/>
    <mergeCell ref="A45:D45"/>
    <mergeCell ref="A46:D46"/>
    <mergeCell ref="A47:E47"/>
    <mergeCell ref="A48:E48"/>
    <mergeCell ref="C42:D42"/>
    <mergeCell ref="C31:D31"/>
    <mergeCell ref="C32:D32"/>
    <mergeCell ref="C33:D33"/>
    <mergeCell ref="B34:E34"/>
    <mergeCell ref="A35:F35"/>
    <mergeCell ref="B36:F36"/>
    <mergeCell ref="C37:D37"/>
    <mergeCell ref="C38:D38"/>
    <mergeCell ref="C39:D39"/>
    <mergeCell ref="C40:D40"/>
    <mergeCell ref="C41:D41"/>
    <mergeCell ref="C30:D30"/>
    <mergeCell ref="A1:F2"/>
    <mergeCell ref="E3:F3"/>
    <mergeCell ref="A4:F4"/>
    <mergeCell ref="A7:F7"/>
    <mergeCell ref="A12:F12"/>
    <mergeCell ref="B13:F13"/>
    <mergeCell ref="B25:E25"/>
    <mergeCell ref="A26:F26"/>
    <mergeCell ref="B27:F27"/>
    <mergeCell ref="C28:D28"/>
    <mergeCell ref="C29:D29"/>
  </mergeCells>
  <pageMargins left="0.7" right="0.7" top="0.75" bottom="0.75" header="0.3" footer="0.3"/>
  <pageSetup paperSize="14" scale="78"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0F6A-47A1-4C9A-82BF-9DA5F76C29EE}">
  <sheetPr codeName="Sheet23"/>
  <dimension ref="A1:F53"/>
  <sheetViews>
    <sheetView view="pageBreakPreview" zoomScale="90" zoomScaleNormal="100" zoomScaleSheetLayoutView="90" workbookViewId="0">
      <selection activeCell="A10" sqref="A10:B10"/>
    </sheetView>
  </sheetViews>
  <sheetFormatPr baseColWidth="10" defaultColWidth="8.83203125" defaultRowHeight="13" x14ac:dyDescent="0.15"/>
  <cols>
    <col min="1" max="1" width="8.1640625"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t="s">
        <v>1557</v>
      </c>
      <c r="B10" s="753" t="s">
        <v>744</v>
      </c>
      <c r="C10" s="696"/>
      <c r="D10" s="696"/>
      <c r="E10" s="696"/>
      <c r="F10" s="696"/>
    </row>
    <row r="11" spans="1:6" ht="34" x14ac:dyDescent="0.15">
      <c r="A11" s="748" t="s">
        <v>1692</v>
      </c>
      <c r="B11" s="749" t="s">
        <v>1693</v>
      </c>
      <c r="C11" s="765">
        <v>1</v>
      </c>
      <c r="D11" s="764" t="s">
        <v>1</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A49:E49"/>
    <mergeCell ref="C51:F51"/>
    <mergeCell ref="C52:F52"/>
    <mergeCell ref="C53:F53"/>
    <mergeCell ref="B43:E43"/>
    <mergeCell ref="A44:F44"/>
    <mergeCell ref="A45:D45"/>
    <mergeCell ref="A46:D46"/>
    <mergeCell ref="A47:E47"/>
    <mergeCell ref="A48:E48"/>
    <mergeCell ref="C42:D42"/>
    <mergeCell ref="C31:D31"/>
    <mergeCell ref="C32:D32"/>
    <mergeCell ref="C33:D33"/>
    <mergeCell ref="B34:E34"/>
    <mergeCell ref="A35:F35"/>
    <mergeCell ref="B36:F36"/>
    <mergeCell ref="C37:D37"/>
    <mergeCell ref="C38:D38"/>
    <mergeCell ref="C39:D39"/>
    <mergeCell ref="C40:D40"/>
    <mergeCell ref="C41:D41"/>
    <mergeCell ref="C30:D30"/>
    <mergeCell ref="A1:F2"/>
    <mergeCell ref="E3:F3"/>
    <mergeCell ref="A4:F4"/>
    <mergeCell ref="A7:F7"/>
    <mergeCell ref="A12:F12"/>
    <mergeCell ref="B13:F13"/>
    <mergeCell ref="B25:E25"/>
    <mergeCell ref="A26:F26"/>
    <mergeCell ref="B27:F27"/>
    <mergeCell ref="C28:D28"/>
    <mergeCell ref="C29:D29"/>
  </mergeCells>
  <pageMargins left="0.7" right="0.7" top="0.75" bottom="0.75" header="0.3" footer="0.3"/>
  <pageSetup paperSize="14" scale="78" orientation="portrait"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04EF7-EE61-46EE-AF33-2DF15D38E5E5}">
  <sheetPr codeName="Sheet24"/>
  <dimension ref="A1:F53"/>
  <sheetViews>
    <sheetView view="pageBreakPreview" zoomScale="90" zoomScaleNormal="100" zoomScaleSheetLayoutView="90" workbookViewId="0">
      <selection activeCell="A10" sqref="A10:B10"/>
    </sheetView>
  </sheetViews>
  <sheetFormatPr baseColWidth="10" defaultColWidth="8.83203125" defaultRowHeight="13" x14ac:dyDescent="0.15"/>
  <cols>
    <col min="1" max="1" width="8.1640625"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t="s">
        <v>1557</v>
      </c>
      <c r="B10" s="753" t="s">
        <v>744</v>
      </c>
      <c r="C10" s="696"/>
      <c r="D10" s="696"/>
      <c r="E10" s="696"/>
      <c r="F10" s="696"/>
    </row>
    <row r="11" spans="1:6" ht="34" x14ac:dyDescent="0.15">
      <c r="A11" s="748" t="s">
        <v>1690</v>
      </c>
      <c r="B11" s="749" t="s">
        <v>1691</v>
      </c>
      <c r="C11" s="765">
        <v>3</v>
      </c>
      <c r="D11" s="764" t="s">
        <v>1</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A49:E49"/>
    <mergeCell ref="C51:F51"/>
    <mergeCell ref="C52:F52"/>
    <mergeCell ref="C53:F53"/>
    <mergeCell ref="B43:E43"/>
    <mergeCell ref="A44:F44"/>
    <mergeCell ref="A45:D45"/>
    <mergeCell ref="A46:D46"/>
    <mergeCell ref="A47:E47"/>
    <mergeCell ref="A48:E48"/>
    <mergeCell ref="C42:D42"/>
    <mergeCell ref="C31:D31"/>
    <mergeCell ref="C32:D32"/>
    <mergeCell ref="C33:D33"/>
    <mergeCell ref="B34:E34"/>
    <mergeCell ref="A35:F35"/>
    <mergeCell ref="B36:F36"/>
    <mergeCell ref="C37:D37"/>
    <mergeCell ref="C38:D38"/>
    <mergeCell ref="C39:D39"/>
    <mergeCell ref="C40:D40"/>
    <mergeCell ref="C41:D41"/>
    <mergeCell ref="C30:D30"/>
    <mergeCell ref="A1:F2"/>
    <mergeCell ref="E3:F3"/>
    <mergeCell ref="A4:F4"/>
    <mergeCell ref="A7:F7"/>
    <mergeCell ref="A12:F12"/>
    <mergeCell ref="B13:F13"/>
    <mergeCell ref="B25:E25"/>
    <mergeCell ref="A26:F26"/>
    <mergeCell ref="B27:F27"/>
    <mergeCell ref="C28:D28"/>
    <mergeCell ref="C29:D29"/>
  </mergeCells>
  <pageMargins left="0.7" right="0.7" top="0.75" bottom="0.75" header="0.3" footer="0.3"/>
  <pageSetup paperSize="14" scale="78" orientation="portrait"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986F0-0E48-4C3B-886C-69E72CFFBBA9}">
  <sheetPr codeName="Sheet25"/>
  <dimension ref="A1:F53"/>
  <sheetViews>
    <sheetView view="pageBreakPreview" zoomScale="90" zoomScaleNormal="100" zoomScaleSheetLayoutView="90" workbookViewId="0">
      <selection activeCell="A10" sqref="A10:B10"/>
    </sheetView>
  </sheetViews>
  <sheetFormatPr baseColWidth="10" defaultColWidth="8.83203125" defaultRowHeight="13" x14ac:dyDescent="0.15"/>
  <cols>
    <col min="1" max="1" width="8.1640625"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t="s">
        <v>1557</v>
      </c>
      <c r="B10" s="753" t="s">
        <v>744</v>
      </c>
      <c r="C10" s="696"/>
      <c r="D10" s="696"/>
      <c r="E10" s="696"/>
      <c r="F10" s="696"/>
    </row>
    <row r="11" spans="1:6" ht="34" x14ac:dyDescent="0.15">
      <c r="A11" s="748" t="s">
        <v>1688</v>
      </c>
      <c r="B11" s="749" t="s">
        <v>1689</v>
      </c>
      <c r="C11" s="765">
        <v>5</v>
      </c>
      <c r="D11" s="764" t="s">
        <v>1</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A49:E49"/>
    <mergeCell ref="C51:F51"/>
    <mergeCell ref="C52:F52"/>
    <mergeCell ref="C53:F53"/>
    <mergeCell ref="B43:E43"/>
    <mergeCell ref="A44:F44"/>
    <mergeCell ref="A45:D45"/>
    <mergeCell ref="A46:D46"/>
    <mergeCell ref="A47:E47"/>
    <mergeCell ref="A48:E48"/>
    <mergeCell ref="C42:D42"/>
    <mergeCell ref="C31:D31"/>
    <mergeCell ref="C32:D32"/>
    <mergeCell ref="C33:D33"/>
    <mergeCell ref="B34:E34"/>
    <mergeCell ref="A35:F35"/>
    <mergeCell ref="B36:F36"/>
    <mergeCell ref="C37:D37"/>
    <mergeCell ref="C38:D38"/>
    <mergeCell ref="C39:D39"/>
    <mergeCell ref="C40:D40"/>
    <mergeCell ref="C41:D41"/>
    <mergeCell ref="C30:D30"/>
    <mergeCell ref="A1:F2"/>
    <mergeCell ref="E3:F3"/>
    <mergeCell ref="A4:F4"/>
    <mergeCell ref="A7:F7"/>
    <mergeCell ref="A12:F12"/>
    <mergeCell ref="B13:F13"/>
    <mergeCell ref="B25:E25"/>
    <mergeCell ref="A26:F26"/>
    <mergeCell ref="B27:F27"/>
    <mergeCell ref="C28:D28"/>
    <mergeCell ref="C29:D29"/>
  </mergeCells>
  <pageMargins left="0.7" right="0.7" top="0.75" bottom="0.75" header="0.3" footer="0.3"/>
  <pageSetup paperSize="14" scale="78"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D5B55-E4E0-CC4A-A4B4-5EA4AA8DCBBB}">
  <dimension ref="A1:F52"/>
  <sheetViews>
    <sheetView tabSelected="1" view="pageBreakPreview" zoomScale="90" zoomScaleNormal="100" zoomScaleSheetLayoutView="90" workbookViewId="0">
      <selection activeCell="B14" sqref="B14"/>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A8" s="941"/>
      <c r="B8" s="942"/>
      <c r="C8" s="696" t="s">
        <v>100</v>
      </c>
      <c r="D8" s="696" t="s">
        <v>104</v>
      </c>
      <c r="E8" s="696" t="s">
        <v>1530</v>
      </c>
      <c r="F8" s="696" t="s">
        <v>1531</v>
      </c>
    </row>
    <row r="9" spans="1:6" ht="16" x14ac:dyDescent="0.15">
      <c r="A9" s="944">
        <v>7</v>
      </c>
      <c r="B9" s="943" t="s">
        <v>633</v>
      </c>
      <c r="C9" s="696"/>
      <c r="D9" s="696"/>
      <c r="E9" s="696"/>
      <c r="F9" s="696"/>
    </row>
    <row r="10" spans="1:6" ht="34" x14ac:dyDescent="0.15">
      <c r="A10" s="947">
        <v>7.7</v>
      </c>
      <c r="B10" s="946" t="s">
        <v>1209</v>
      </c>
      <c r="C10" s="948">
        <v>100</v>
      </c>
      <c r="D10" s="949" t="s">
        <v>1</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5">
    <mergeCell ref="A47:E47"/>
    <mergeCell ref="A48:E48"/>
    <mergeCell ref="C50:F50"/>
    <mergeCell ref="C51:F51"/>
    <mergeCell ref="C52:F52"/>
    <mergeCell ref="C41:D41"/>
    <mergeCell ref="B42:E42"/>
    <mergeCell ref="A43:F43"/>
    <mergeCell ref="A44:D44"/>
    <mergeCell ref="A45:D45"/>
    <mergeCell ref="A46:E46"/>
    <mergeCell ref="B35:F35"/>
    <mergeCell ref="C36:D36"/>
    <mergeCell ref="C37:D37"/>
    <mergeCell ref="C38:D38"/>
    <mergeCell ref="C39:D39"/>
    <mergeCell ref="C40:D40"/>
    <mergeCell ref="C29:D29"/>
    <mergeCell ref="C30:D30"/>
    <mergeCell ref="C31:D31"/>
    <mergeCell ref="C32:D32"/>
    <mergeCell ref="B33:E33"/>
    <mergeCell ref="A34:F34"/>
    <mergeCell ref="B12:F12"/>
    <mergeCell ref="B24:E24"/>
    <mergeCell ref="A25:F25"/>
    <mergeCell ref="B26:F26"/>
    <mergeCell ref="C27:D27"/>
    <mergeCell ref="C28:D28"/>
    <mergeCell ref="A1:F2"/>
    <mergeCell ref="E3:F3"/>
    <mergeCell ref="A4:F4"/>
    <mergeCell ref="A7:F7"/>
    <mergeCell ref="A8:B8"/>
    <mergeCell ref="A11:F11"/>
  </mergeCells>
  <pageMargins left="0.7" right="0.7" top="0.75" bottom="0.75" header="0.3" footer="0.3"/>
  <pageSetup paperSize="14" scale="79"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DA47C-6324-4D40-A724-C5BD19D320FF}">
  <sheetPr codeName="Sheet26"/>
  <dimension ref="A1:F53"/>
  <sheetViews>
    <sheetView view="pageBreakPreview" zoomScale="90" zoomScaleNormal="100" zoomScaleSheetLayoutView="90" workbookViewId="0">
      <selection activeCell="A10" sqref="A10:B10"/>
    </sheetView>
  </sheetViews>
  <sheetFormatPr baseColWidth="10" defaultColWidth="8.83203125" defaultRowHeight="13" x14ac:dyDescent="0.15"/>
  <cols>
    <col min="1" max="1" width="8.1640625"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t="s">
        <v>1557</v>
      </c>
      <c r="B10" s="753" t="s">
        <v>744</v>
      </c>
      <c r="C10" s="696"/>
      <c r="D10" s="696"/>
      <c r="E10" s="696"/>
      <c r="F10" s="696"/>
    </row>
    <row r="11" spans="1:6" ht="34" x14ac:dyDescent="0.15">
      <c r="A11" s="748" t="s">
        <v>1686</v>
      </c>
      <c r="B11" s="749" t="s">
        <v>1687</v>
      </c>
      <c r="C11" s="765">
        <v>2</v>
      </c>
      <c r="D11" s="764" t="s">
        <v>1</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A49:E49"/>
    <mergeCell ref="C51:F51"/>
    <mergeCell ref="C52:F52"/>
    <mergeCell ref="C53:F53"/>
    <mergeCell ref="B43:E43"/>
    <mergeCell ref="A44:F44"/>
    <mergeCell ref="A45:D45"/>
    <mergeCell ref="A46:D46"/>
    <mergeCell ref="A47:E47"/>
    <mergeCell ref="A48:E48"/>
    <mergeCell ref="C42:D42"/>
    <mergeCell ref="C31:D31"/>
    <mergeCell ref="C32:D32"/>
    <mergeCell ref="C33:D33"/>
    <mergeCell ref="B34:E34"/>
    <mergeCell ref="A35:F35"/>
    <mergeCell ref="B36:F36"/>
    <mergeCell ref="C37:D37"/>
    <mergeCell ref="C38:D38"/>
    <mergeCell ref="C39:D39"/>
    <mergeCell ref="C40:D40"/>
    <mergeCell ref="C41:D41"/>
    <mergeCell ref="C30:D30"/>
    <mergeCell ref="A1:F2"/>
    <mergeCell ref="E3:F3"/>
    <mergeCell ref="A4:F4"/>
    <mergeCell ref="A7:F7"/>
    <mergeCell ref="A12:F12"/>
    <mergeCell ref="B13:F13"/>
    <mergeCell ref="B25:E25"/>
    <mergeCell ref="A26:F26"/>
    <mergeCell ref="B27:F27"/>
    <mergeCell ref="C28:D28"/>
    <mergeCell ref="C29:D29"/>
  </mergeCells>
  <pageMargins left="0.7" right="0.7" top="0.75" bottom="0.75" header="0.3" footer="0.3"/>
  <pageSetup paperSize="14" scale="78"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027F1-A84A-494A-86DB-87CC6234C202}">
  <sheetPr codeName="Sheet27"/>
  <dimension ref="A1:F53"/>
  <sheetViews>
    <sheetView view="pageBreakPreview" topLeftCell="A3" zoomScale="90" zoomScaleNormal="100" zoomScaleSheetLayoutView="90" workbookViewId="0">
      <selection activeCell="A10" sqref="A10:B10"/>
    </sheetView>
  </sheetViews>
  <sheetFormatPr baseColWidth="10" defaultColWidth="8.83203125" defaultRowHeight="13" x14ac:dyDescent="0.15"/>
  <cols>
    <col min="1" max="1" width="8.1640625"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t="s">
        <v>1557</v>
      </c>
      <c r="B10" s="753" t="s">
        <v>744</v>
      </c>
      <c r="C10" s="696"/>
      <c r="D10" s="696"/>
      <c r="E10" s="696"/>
      <c r="F10" s="696"/>
    </row>
    <row r="11" spans="1:6" ht="34" x14ac:dyDescent="0.15">
      <c r="A11" s="748" t="s">
        <v>1684</v>
      </c>
      <c r="B11" s="749" t="s">
        <v>1685</v>
      </c>
      <c r="C11" s="765">
        <v>1</v>
      </c>
      <c r="D11" s="764" t="s">
        <v>1</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A49:E49"/>
    <mergeCell ref="C51:F51"/>
    <mergeCell ref="C52:F52"/>
    <mergeCell ref="C53:F53"/>
    <mergeCell ref="B43:E43"/>
    <mergeCell ref="A44:F44"/>
    <mergeCell ref="A45:D45"/>
    <mergeCell ref="A46:D46"/>
    <mergeCell ref="A47:E47"/>
    <mergeCell ref="A48:E48"/>
    <mergeCell ref="C42:D42"/>
    <mergeCell ref="C31:D31"/>
    <mergeCell ref="C32:D32"/>
    <mergeCell ref="C33:D33"/>
    <mergeCell ref="B34:E34"/>
    <mergeCell ref="A35:F35"/>
    <mergeCell ref="B36:F36"/>
    <mergeCell ref="C37:D37"/>
    <mergeCell ref="C38:D38"/>
    <mergeCell ref="C39:D39"/>
    <mergeCell ref="C40:D40"/>
    <mergeCell ref="C41:D41"/>
    <mergeCell ref="C30:D30"/>
    <mergeCell ref="A1:F2"/>
    <mergeCell ref="E3:F3"/>
    <mergeCell ref="A4:F4"/>
    <mergeCell ref="A7:F7"/>
    <mergeCell ref="A12:F12"/>
    <mergeCell ref="B13:F13"/>
    <mergeCell ref="B25:E25"/>
    <mergeCell ref="A26:F26"/>
    <mergeCell ref="B27:F27"/>
    <mergeCell ref="C28:D28"/>
    <mergeCell ref="C29:D29"/>
  </mergeCells>
  <pageMargins left="0.7" right="0.7" top="0.75" bottom="0.75" header="0.3" footer="0.3"/>
  <pageSetup paperSize="14" scale="78"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58323-8498-4D95-B6CC-9F2590AC1C87}">
  <sheetPr codeName="Sheet28"/>
  <dimension ref="A1:F53"/>
  <sheetViews>
    <sheetView view="pageBreakPreview" zoomScale="90" zoomScaleNormal="100" zoomScaleSheetLayoutView="90" workbookViewId="0">
      <selection activeCell="A10" sqref="A10:B10"/>
    </sheetView>
  </sheetViews>
  <sheetFormatPr baseColWidth="10" defaultColWidth="8.83203125" defaultRowHeight="13" x14ac:dyDescent="0.15"/>
  <cols>
    <col min="1" max="1" width="8.1640625"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t="s">
        <v>1557</v>
      </c>
      <c r="B10" s="753" t="s">
        <v>744</v>
      </c>
      <c r="C10" s="696"/>
      <c r="D10" s="696"/>
      <c r="E10" s="696"/>
      <c r="F10" s="696"/>
    </row>
    <row r="11" spans="1:6" ht="34" x14ac:dyDescent="0.15">
      <c r="A11" s="748" t="s">
        <v>1682</v>
      </c>
      <c r="B11" s="749" t="s">
        <v>1683</v>
      </c>
      <c r="C11" s="763">
        <v>2</v>
      </c>
      <c r="D11" s="764" t="s">
        <v>1</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8"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A51A9-F531-428B-9BC7-3E4BBF6CF0AD}">
  <sheetPr codeName="Sheet29"/>
  <dimension ref="A1:F53"/>
  <sheetViews>
    <sheetView view="pageBreakPreview" zoomScale="90" zoomScaleNormal="100" zoomScaleSheetLayoutView="90" workbookViewId="0">
      <selection activeCell="A5" sqref="A5"/>
    </sheetView>
  </sheetViews>
  <sheetFormatPr baseColWidth="10" defaultColWidth="8.83203125" defaultRowHeight="13" x14ac:dyDescent="0.15"/>
  <cols>
    <col min="1" max="1" width="7.5"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t="s">
        <v>1664</v>
      </c>
      <c r="B10" s="753" t="s">
        <v>1665</v>
      </c>
      <c r="C10" s="696"/>
      <c r="D10" s="696"/>
      <c r="E10" s="696"/>
      <c r="F10" s="696"/>
    </row>
    <row r="11" spans="1:6" ht="17" x14ac:dyDescent="0.15">
      <c r="A11" s="745" t="s">
        <v>1680</v>
      </c>
      <c r="B11" s="746" t="s">
        <v>1681</v>
      </c>
      <c r="C11" s="747">
        <v>1</v>
      </c>
      <c r="D11" s="696" t="s">
        <v>1</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A49:E49"/>
    <mergeCell ref="C51:F51"/>
    <mergeCell ref="C52:F52"/>
    <mergeCell ref="C53:F53"/>
    <mergeCell ref="B43:E43"/>
    <mergeCell ref="A44:F44"/>
    <mergeCell ref="A45:D45"/>
    <mergeCell ref="A46:D46"/>
    <mergeCell ref="A47:E47"/>
    <mergeCell ref="A48:E48"/>
    <mergeCell ref="C42:D42"/>
    <mergeCell ref="C31:D31"/>
    <mergeCell ref="C32:D32"/>
    <mergeCell ref="C33:D33"/>
    <mergeCell ref="B34:E34"/>
    <mergeCell ref="A35:F35"/>
    <mergeCell ref="B36:F36"/>
    <mergeCell ref="C37:D37"/>
    <mergeCell ref="C38:D38"/>
    <mergeCell ref="C39:D39"/>
    <mergeCell ref="C40:D40"/>
    <mergeCell ref="C41:D41"/>
    <mergeCell ref="C30:D30"/>
    <mergeCell ref="A1:F2"/>
    <mergeCell ref="E3:F3"/>
    <mergeCell ref="A4:F4"/>
    <mergeCell ref="A7:F7"/>
    <mergeCell ref="A12:F12"/>
    <mergeCell ref="B13:F13"/>
    <mergeCell ref="B25:E25"/>
    <mergeCell ref="A26:F26"/>
    <mergeCell ref="B27:F27"/>
    <mergeCell ref="C28:D28"/>
    <mergeCell ref="C29:D29"/>
  </mergeCells>
  <pageMargins left="0.7" right="0.7" top="0.75" bottom="0.75" header="0.3" footer="0.3"/>
  <pageSetup paperSize="14" scale="78"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84F54-F1C9-4E02-A24B-273BBEF6E3F4}">
  <sheetPr codeName="Sheet30"/>
  <dimension ref="A1:F53"/>
  <sheetViews>
    <sheetView view="pageBreakPreview" zoomScale="90" zoomScaleNormal="100" zoomScaleSheetLayoutView="90" workbookViewId="0">
      <selection activeCell="A10" sqref="A10:B10"/>
    </sheetView>
  </sheetViews>
  <sheetFormatPr baseColWidth="10" defaultColWidth="8.83203125" defaultRowHeight="13" x14ac:dyDescent="0.15"/>
  <cols>
    <col min="1" max="1" width="7.5"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t="s">
        <v>1664</v>
      </c>
      <c r="B10" s="753" t="s">
        <v>1665</v>
      </c>
      <c r="C10" s="696"/>
      <c r="D10" s="696"/>
      <c r="E10" s="696"/>
      <c r="F10" s="696"/>
    </row>
    <row r="11" spans="1:6" ht="17" x14ac:dyDescent="0.15">
      <c r="A11" s="745" t="s">
        <v>1678</v>
      </c>
      <c r="B11" s="698" t="s">
        <v>1679</v>
      </c>
      <c r="C11" s="747">
        <v>1</v>
      </c>
      <c r="D11" s="696" t="s">
        <v>1</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A49:E49"/>
    <mergeCell ref="C51:F51"/>
    <mergeCell ref="C52:F52"/>
    <mergeCell ref="C53:F53"/>
    <mergeCell ref="B43:E43"/>
    <mergeCell ref="A44:F44"/>
    <mergeCell ref="A45:D45"/>
    <mergeCell ref="A46:D46"/>
    <mergeCell ref="A47:E47"/>
    <mergeCell ref="A48:E48"/>
    <mergeCell ref="C42:D42"/>
    <mergeCell ref="C31:D31"/>
    <mergeCell ref="C32:D32"/>
    <mergeCell ref="C33:D33"/>
    <mergeCell ref="B34:E34"/>
    <mergeCell ref="A35:F35"/>
    <mergeCell ref="B36:F36"/>
    <mergeCell ref="C37:D37"/>
    <mergeCell ref="C38:D38"/>
    <mergeCell ref="C39:D39"/>
    <mergeCell ref="C40:D40"/>
    <mergeCell ref="C41:D41"/>
    <mergeCell ref="C30:D30"/>
    <mergeCell ref="A1:F2"/>
    <mergeCell ref="E3:F3"/>
    <mergeCell ref="A4:F4"/>
    <mergeCell ref="A7:F7"/>
    <mergeCell ref="A12:F12"/>
    <mergeCell ref="B13:F13"/>
    <mergeCell ref="B25:E25"/>
    <mergeCell ref="A26:F26"/>
    <mergeCell ref="B27:F27"/>
    <mergeCell ref="C28:D28"/>
    <mergeCell ref="C29:D29"/>
  </mergeCells>
  <pageMargins left="0.7" right="0.7" top="0.75" bottom="0.75" header="0.3" footer="0.3"/>
  <pageSetup paperSize="14" scale="78"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1DC74-46F1-4B34-9EF2-819FBAE677EA}">
  <sheetPr codeName="Sheet31"/>
  <dimension ref="A1:F53"/>
  <sheetViews>
    <sheetView view="pageBreakPreview" zoomScale="90" zoomScaleNormal="100" zoomScaleSheetLayoutView="90" workbookViewId="0">
      <selection activeCell="A10" sqref="A10:B10"/>
    </sheetView>
  </sheetViews>
  <sheetFormatPr baseColWidth="10" defaultColWidth="8.83203125" defaultRowHeight="13" x14ac:dyDescent="0.15"/>
  <cols>
    <col min="1" max="1" width="7.5"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t="s">
        <v>1664</v>
      </c>
      <c r="B10" s="753" t="s">
        <v>1665</v>
      </c>
      <c r="C10" s="696"/>
      <c r="D10" s="696"/>
      <c r="E10" s="696"/>
      <c r="F10" s="696"/>
    </row>
    <row r="11" spans="1:6" ht="34" x14ac:dyDescent="0.15">
      <c r="A11" s="745" t="s">
        <v>1676</v>
      </c>
      <c r="B11" s="698" t="s">
        <v>1677</v>
      </c>
      <c r="C11" s="762">
        <v>5</v>
      </c>
      <c r="D11" s="708" t="s">
        <v>1</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1">
        <v>1</v>
      </c>
      <c r="B29" s="698"/>
      <c r="C29" s="831"/>
      <c r="D29" s="831"/>
      <c r="E29" s="696"/>
      <c r="F29" s="696"/>
    </row>
    <row r="30" spans="1:6" ht="16" x14ac:dyDescent="0.15">
      <c r="A30" s="701">
        <v>2</v>
      </c>
      <c r="B30" s="696"/>
      <c r="C30" s="831"/>
      <c r="D30" s="831"/>
      <c r="E30" s="696"/>
      <c r="F30" s="696"/>
    </row>
    <row r="31" spans="1:6" ht="16" x14ac:dyDescent="0.15">
      <c r="A31" s="701">
        <v>3</v>
      </c>
      <c r="B31" s="696"/>
      <c r="C31" s="831"/>
      <c r="D31" s="831"/>
      <c r="E31" s="696"/>
      <c r="F31" s="696"/>
    </row>
    <row r="32" spans="1:6" ht="16" x14ac:dyDescent="0.15">
      <c r="A32" s="701">
        <v>4</v>
      </c>
      <c r="B32" s="696"/>
      <c r="C32" s="831"/>
      <c r="D32" s="831"/>
      <c r="E32" s="696"/>
      <c r="F32" s="696"/>
    </row>
    <row r="33" spans="1:6" ht="16" x14ac:dyDescent="0.15">
      <c r="A33" s="701">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1">
        <v>1</v>
      </c>
      <c r="B38" s="696"/>
      <c r="C38" s="831"/>
      <c r="D38" s="831"/>
      <c r="E38" s="696"/>
      <c r="F38" s="696"/>
    </row>
    <row r="39" spans="1:6" ht="16" x14ac:dyDescent="0.15">
      <c r="A39" s="701">
        <v>2</v>
      </c>
      <c r="B39" s="696"/>
      <c r="C39" s="831"/>
      <c r="D39" s="831"/>
      <c r="E39" s="696"/>
      <c r="F39" s="696"/>
    </row>
    <row r="40" spans="1:6" ht="16" x14ac:dyDescent="0.15">
      <c r="A40" s="701">
        <v>3</v>
      </c>
      <c r="B40" s="696"/>
      <c r="C40" s="831"/>
      <c r="D40" s="831"/>
      <c r="E40" s="696"/>
      <c r="F40" s="696"/>
    </row>
    <row r="41" spans="1:6" ht="16" x14ac:dyDescent="0.15">
      <c r="A41" s="701">
        <v>4</v>
      </c>
      <c r="B41" s="696"/>
      <c r="C41" s="831"/>
      <c r="D41" s="831"/>
      <c r="E41" s="696"/>
      <c r="F41" s="696"/>
    </row>
    <row r="42" spans="1:6" ht="16" x14ac:dyDescent="0.15">
      <c r="A42" s="701">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A49:E49"/>
    <mergeCell ref="C51:F51"/>
    <mergeCell ref="C52:F52"/>
    <mergeCell ref="C53:F53"/>
    <mergeCell ref="B43:E43"/>
    <mergeCell ref="A44:F44"/>
    <mergeCell ref="A45:D45"/>
    <mergeCell ref="A46:D46"/>
    <mergeCell ref="A47:E47"/>
    <mergeCell ref="A48:E48"/>
    <mergeCell ref="C42:D42"/>
    <mergeCell ref="C31:D31"/>
    <mergeCell ref="C32:D32"/>
    <mergeCell ref="C33:D33"/>
    <mergeCell ref="B34:E34"/>
    <mergeCell ref="A35:F35"/>
    <mergeCell ref="B36:F36"/>
    <mergeCell ref="C37:D37"/>
    <mergeCell ref="C38:D38"/>
    <mergeCell ref="C39:D39"/>
    <mergeCell ref="C40:D40"/>
    <mergeCell ref="C41:D41"/>
    <mergeCell ref="C30:D30"/>
    <mergeCell ref="A1:F2"/>
    <mergeCell ref="E3:F3"/>
    <mergeCell ref="A4:F4"/>
    <mergeCell ref="A7:F7"/>
    <mergeCell ref="A12:F12"/>
    <mergeCell ref="B13:F13"/>
    <mergeCell ref="B25:E25"/>
    <mergeCell ref="A26:F26"/>
    <mergeCell ref="B27:F27"/>
    <mergeCell ref="C28:D28"/>
    <mergeCell ref="C29:D29"/>
  </mergeCells>
  <pageMargins left="0.7" right="0.7" top="0.75" bottom="0.75" header="0.3" footer="0.3"/>
  <pageSetup paperSize="14" scale="78"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BA364-9E7A-4D98-8F28-F2E2BF895107}">
  <sheetPr codeName="Sheet32"/>
  <dimension ref="A1:F53"/>
  <sheetViews>
    <sheetView view="pageBreakPreview" zoomScale="90" zoomScaleNormal="100" zoomScaleSheetLayoutView="90" workbookViewId="0">
      <selection activeCell="A10" sqref="A10:B10"/>
    </sheetView>
  </sheetViews>
  <sheetFormatPr baseColWidth="10" defaultColWidth="8.83203125" defaultRowHeight="13" x14ac:dyDescent="0.15"/>
  <cols>
    <col min="1" max="1" width="7.5"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t="s">
        <v>1664</v>
      </c>
      <c r="B10" s="753" t="s">
        <v>1665</v>
      </c>
      <c r="C10" s="696"/>
      <c r="D10" s="696"/>
      <c r="E10" s="696"/>
      <c r="F10" s="696"/>
    </row>
    <row r="11" spans="1:6" ht="17" x14ac:dyDescent="0.15">
      <c r="A11" s="745" t="s">
        <v>1674</v>
      </c>
      <c r="B11" s="698" t="s">
        <v>1675</v>
      </c>
      <c r="C11" s="747">
        <v>4</v>
      </c>
      <c r="D11" s="696" t="s">
        <v>1</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A49:E49"/>
    <mergeCell ref="C51:F51"/>
    <mergeCell ref="C52:F52"/>
    <mergeCell ref="C53:F53"/>
    <mergeCell ref="B43:E43"/>
    <mergeCell ref="A44:F44"/>
    <mergeCell ref="A45:D45"/>
    <mergeCell ref="A46:D46"/>
    <mergeCell ref="A47:E47"/>
    <mergeCell ref="A48:E48"/>
    <mergeCell ref="C42:D42"/>
    <mergeCell ref="C31:D31"/>
    <mergeCell ref="C32:D32"/>
    <mergeCell ref="C33:D33"/>
    <mergeCell ref="B34:E34"/>
    <mergeCell ref="A35:F35"/>
    <mergeCell ref="B36:F36"/>
    <mergeCell ref="C37:D37"/>
    <mergeCell ref="C38:D38"/>
    <mergeCell ref="C39:D39"/>
    <mergeCell ref="C40:D40"/>
    <mergeCell ref="C41:D41"/>
    <mergeCell ref="C30:D30"/>
    <mergeCell ref="A1:F2"/>
    <mergeCell ref="E3:F3"/>
    <mergeCell ref="A4:F4"/>
    <mergeCell ref="A7:F7"/>
    <mergeCell ref="A12:F12"/>
    <mergeCell ref="B13:F13"/>
    <mergeCell ref="B25:E25"/>
    <mergeCell ref="A26:F26"/>
    <mergeCell ref="B27:F27"/>
    <mergeCell ref="C28:D28"/>
    <mergeCell ref="C29:D29"/>
  </mergeCells>
  <pageMargins left="0.7" right="0.7" top="0.75" bottom="0.75" header="0.3" footer="0.3"/>
  <pageSetup paperSize="14" scale="78" orientation="portrait"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293D9-081B-4DFB-BA4C-6DA660FBAC81}">
  <sheetPr codeName="Sheet33"/>
  <dimension ref="A1:F53"/>
  <sheetViews>
    <sheetView view="pageBreakPreview" zoomScale="90" zoomScaleNormal="100" zoomScaleSheetLayoutView="90" workbookViewId="0">
      <selection activeCell="A10" sqref="A10:B10"/>
    </sheetView>
  </sheetViews>
  <sheetFormatPr baseColWidth="10" defaultColWidth="8.83203125" defaultRowHeight="13" x14ac:dyDescent="0.15"/>
  <cols>
    <col min="1" max="1" width="7.5"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t="s">
        <v>1664</v>
      </c>
      <c r="B10" s="753" t="s">
        <v>1665</v>
      </c>
      <c r="C10" s="696"/>
      <c r="D10" s="696"/>
      <c r="E10" s="696"/>
      <c r="F10" s="696"/>
    </row>
    <row r="11" spans="1:6" ht="17" x14ac:dyDescent="0.15">
      <c r="A11" s="745" t="s">
        <v>1672</v>
      </c>
      <c r="B11" s="698" t="s">
        <v>1673</v>
      </c>
      <c r="C11" s="747">
        <v>4</v>
      </c>
      <c r="D11" s="696" t="s">
        <v>1</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A49:E49"/>
    <mergeCell ref="C51:F51"/>
    <mergeCell ref="C52:F52"/>
    <mergeCell ref="C53:F53"/>
    <mergeCell ref="B43:E43"/>
    <mergeCell ref="A44:F44"/>
    <mergeCell ref="A45:D45"/>
    <mergeCell ref="A46:D46"/>
    <mergeCell ref="A47:E47"/>
    <mergeCell ref="A48:E48"/>
    <mergeCell ref="C42:D42"/>
    <mergeCell ref="C31:D31"/>
    <mergeCell ref="C32:D32"/>
    <mergeCell ref="C33:D33"/>
    <mergeCell ref="B34:E34"/>
    <mergeCell ref="A35:F35"/>
    <mergeCell ref="B36:F36"/>
    <mergeCell ref="C37:D37"/>
    <mergeCell ref="C38:D38"/>
    <mergeCell ref="C39:D39"/>
    <mergeCell ref="C40:D40"/>
    <mergeCell ref="C41:D41"/>
    <mergeCell ref="C30:D30"/>
    <mergeCell ref="A1:F2"/>
    <mergeCell ref="E3:F3"/>
    <mergeCell ref="A4:F4"/>
    <mergeCell ref="A7:F7"/>
    <mergeCell ref="A12:F12"/>
    <mergeCell ref="B13:F13"/>
    <mergeCell ref="B25:E25"/>
    <mergeCell ref="A26:F26"/>
    <mergeCell ref="B27:F27"/>
    <mergeCell ref="C28:D28"/>
    <mergeCell ref="C29:D29"/>
  </mergeCells>
  <pageMargins left="0.7" right="0.7" top="0.75" bottom="0.75" header="0.3" footer="0.3"/>
  <pageSetup paperSize="14" scale="78" orientation="portrait"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5F815-EFFE-4400-8EA3-43C5CE541D57}">
  <sheetPr codeName="Sheet34"/>
  <dimension ref="A1:F53"/>
  <sheetViews>
    <sheetView view="pageBreakPreview" zoomScale="90" zoomScaleNormal="100" zoomScaleSheetLayoutView="90" workbookViewId="0">
      <selection activeCell="A10" sqref="A10:B10"/>
    </sheetView>
  </sheetViews>
  <sheetFormatPr baseColWidth="10" defaultColWidth="8.83203125" defaultRowHeight="13" x14ac:dyDescent="0.15"/>
  <cols>
    <col min="1" max="1" width="7.5"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t="s">
        <v>1664</v>
      </c>
      <c r="B10" s="753" t="s">
        <v>1665</v>
      </c>
      <c r="C10" s="696"/>
      <c r="D10" s="696"/>
      <c r="E10" s="696"/>
      <c r="F10" s="696"/>
    </row>
    <row r="11" spans="1:6" ht="17" x14ac:dyDescent="0.15">
      <c r="A11" s="745" t="s">
        <v>1670</v>
      </c>
      <c r="B11" s="698" t="s">
        <v>1671</v>
      </c>
      <c r="C11" s="747">
        <v>1</v>
      </c>
      <c r="D11" s="696" t="s">
        <v>1</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A49:E49"/>
    <mergeCell ref="C51:F51"/>
    <mergeCell ref="C52:F52"/>
    <mergeCell ref="C53:F53"/>
    <mergeCell ref="B43:E43"/>
    <mergeCell ref="A44:F44"/>
    <mergeCell ref="A45:D45"/>
    <mergeCell ref="A46:D46"/>
    <mergeCell ref="A47:E47"/>
    <mergeCell ref="A48:E48"/>
    <mergeCell ref="C42:D42"/>
    <mergeCell ref="C31:D31"/>
    <mergeCell ref="C32:D32"/>
    <mergeCell ref="C33:D33"/>
    <mergeCell ref="B34:E34"/>
    <mergeCell ref="A35:F35"/>
    <mergeCell ref="B36:F36"/>
    <mergeCell ref="C37:D37"/>
    <mergeCell ref="C38:D38"/>
    <mergeCell ref="C39:D39"/>
    <mergeCell ref="C40:D40"/>
    <mergeCell ref="C41:D41"/>
    <mergeCell ref="C30:D30"/>
    <mergeCell ref="A1:F2"/>
    <mergeCell ref="E3:F3"/>
    <mergeCell ref="A4:F4"/>
    <mergeCell ref="A7:F7"/>
    <mergeCell ref="A12:F12"/>
    <mergeCell ref="B13:F13"/>
    <mergeCell ref="B25:E25"/>
    <mergeCell ref="A26:F26"/>
    <mergeCell ref="B27:F27"/>
    <mergeCell ref="C28:D28"/>
    <mergeCell ref="C29:D29"/>
  </mergeCells>
  <pageMargins left="0.7" right="0.7" top="0.75" bottom="0.75" header="0.3" footer="0.3"/>
  <pageSetup paperSize="14" scale="78" orientation="portrait" horizontalDpi="0" verticalDpi="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C3321-08A2-4FB3-8942-356262525A40}">
  <sheetPr codeName="Sheet35"/>
  <dimension ref="A1:F53"/>
  <sheetViews>
    <sheetView view="pageBreakPreview" zoomScale="90" zoomScaleNormal="100" zoomScaleSheetLayoutView="90" workbookViewId="0">
      <selection activeCell="A10" sqref="A10:B10"/>
    </sheetView>
  </sheetViews>
  <sheetFormatPr baseColWidth="10" defaultColWidth="8.83203125" defaultRowHeight="13" x14ac:dyDescent="0.15"/>
  <cols>
    <col min="1" max="1" width="7.5"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t="s">
        <v>1664</v>
      </c>
      <c r="B10" s="753" t="s">
        <v>1665</v>
      </c>
      <c r="C10" s="696"/>
      <c r="D10" s="696"/>
      <c r="E10" s="696"/>
      <c r="F10" s="696"/>
    </row>
    <row r="11" spans="1:6" ht="34" x14ac:dyDescent="0.15">
      <c r="A11" s="745" t="s">
        <v>1668</v>
      </c>
      <c r="B11" s="698" t="s">
        <v>1669</v>
      </c>
      <c r="C11" s="762">
        <v>2</v>
      </c>
      <c r="D11" s="708" t="s">
        <v>1</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A49:E49"/>
    <mergeCell ref="C51:F51"/>
    <mergeCell ref="C52:F52"/>
    <mergeCell ref="C53:F53"/>
    <mergeCell ref="B43:E43"/>
    <mergeCell ref="A44:F44"/>
    <mergeCell ref="A45:D45"/>
    <mergeCell ref="A46:D46"/>
    <mergeCell ref="A47:E47"/>
    <mergeCell ref="A48:E48"/>
    <mergeCell ref="C42:D42"/>
    <mergeCell ref="C31:D31"/>
    <mergeCell ref="C32:D32"/>
    <mergeCell ref="C33:D33"/>
    <mergeCell ref="B34:E34"/>
    <mergeCell ref="A35:F35"/>
    <mergeCell ref="B36:F36"/>
    <mergeCell ref="C37:D37"/>
    <mergeCell ref="C38:D38"/>
    <mergeCell ref="C39:D39"/>
    <mergeCell ref="C40:D40"/>
    <mergeCell ref="C41:D41"/>
    <mergeCell ref="C30:D30"/>
    <mergeCell ref="A1:F2"/>
    <mergeCell ref="E3:F3"/>
    <mergeCell ref="A4:F4"/>
    <mergeCell ref="A7:F7"/>
    <mergeCell ref="A12:F12"/>
    <mergeCell ref="B13:F13"/>
    <mergeCell ref="B25:E25"/>
    <mergeCell ref="A26:F26"/>
    <mergeCell ref="B27:F27"/>
    <mergeCell ref="C28:D28"/>
    <mergeCell ref="C29:D29"/>
  </mergeCells>
  <pageMargins left="0.7" right="0.7" top="0.75" bottom="0.75" header="0.3" footer="0.3"/>
  <pageSetup paperSize="14" scale="78"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4C3AE-86C3-7347-BE49-E9DBFA2977F6}">
  <dimension ref="A1:F52"/>
  <sheetViews>
    <sheetView view="pageBreakPreview" topLeftCell="A7" zoomScale="90" zoomScaleNormal="100" zoomScaleSheetLayoutView="90" workbookViewId="0">
      <selection activeCell="B21" sqref="B21"/>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A8" s="941"/>
      <c r="B8" s="942"/>
      <c r="C8" s="696" t="s">
        <v>100</v>
      </c>
      <c r="D8" s="696" t="s">
        <v>104</v>
      </c>
      <c r="E8" s="696" t="s">
        <v>1530</v>
      </c>
      <c r="F8" s="696" t="s">
        <v>1531</v>
      </c>
    </row>
    <row r="9" spans="1:6" ht="16" x14ac:dyDescent="0.15">
      <c r="A9" s="944">
        <v>7</v>
      </c>
      <c r="B9" s="943" t="s">
        <v>633</v>
      </c>
      <c r="C9" s="696"/>
      <c r="D9" s="696"/>
      <c r="E9" s="696"/>
      <c r="F9" s="696"/>
    </row>
    <row r="10" spans="1:6" ht="17" x14ac:dyDescent="0.15">
      <c r="A10" s="947">
        <v>7.6</v>
      </c>
      <c r="B10" s="946" t="s">
        <v>1706</v>
      </c>
      <c r="C10" s="948">
        <v>4</v>
      </c>
      <c r="D10" s="949" t="s">
        <v>1</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5">
    <mergeCell ref="A47:E47"/>
    <mergeCell ref="A48:E48"/>
    <mergeCell ref="C50:F50"/>
    <mergeCell ref="C51:F51"/>
    <mergeCell ref="C52:F52"/>
    <mergeCell ref="C41:D41"/>
    <mergeCell ref="B42:E42"/>
    <mergeCell ref="A43:F43"/>
    <mergeCell ref="A44:D44"/>
    <mergeCell ref="A45:D45"/>
    <mergeCell ref="A46:E46"/>
    <mergeCell ref="B35:F35"/>
    <mergeCell ref="C36:D36"/>
    <mergeCell ref="C37:D37"/>
    <mergeCell ref="C38:D38"/>
    <mergeCell ref="C39:D39"/>
    <mergeCell ref="C40:D40"/>
    <mergeCell ref="C29:D29"/>
    <mergeCell ref="C30:D30"/>
    <mergeCell ref="C31:D31"/>
    <mergeCell ref="C32:D32"/>
    <mergeCell ref="B33:E33"/>
    <mergeCell ref="A34:F34"/>
    <mergeCell ref="B12:F12"/>
    <mergeCell ref="B24:E24"/>
    <mergeCell ref="A25:F25"/>
    <mergeCell ref="B26:F26"/>
    <mergeCell ref="C27:D27"/>
    <mergeCell ref="C28:D28"/>
    <mergeCell ref="A1:F2"/>
    <mergeCell ref="E3:F3"/>
    <mergeCell ref="A4:F4"/>
    <mergeCell ref="A7:F7"/>
    <mergeCell ref="A8:B8"/>
    <mergeCell ref="A11:F11"/>
  </mergeCells>
  <pageMargins left="0.7" right="0.7" top="0.75" bottom="0.75" header="0.3" footer="0.3"/>
  <pageSetup paperSize="14" scale="79" orientation="portrait" horizontalDpi="0" verticalDpi="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7AFF3-7A1A-4DCF-B03A-01B0D433FC77}">
  <sheetPr codeName="Sheet36"/>
  <dimension ref="A1:F53"/>
  <sheetViews>
    <sheetView view="pageBreakPreview" topLeftCell="A2" zoomScale="90" zoomScaleNormal="100" zoomScaleSheetLayoutView="90" workbookViewId="0">
      <selection activeCell="A10" sqref="A10:B10"/>
    </sheetView>
  </sheetViews>
  <sheetFormatPr baseColWidth="10" defaultColWidth="8.83203125" defaultRowHeight="13" x14ac:dyDescent="0.15"/>
  <cols>
    <col min="1" max="1" width="7.5"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t="s">
        <v>1664</v>
      </c>
      <c r="B10" s="753" t="s">
        <v>1665</v>
      </c>
      <c r="C10" s="696"/>
      <c r="D10" s="696"/>
      <c r="E10" s="696"/>
      <c r="F10" s="696"/>
    </row>
    <row r="11" spans="1:6" ht="34" x14ac:dyDescent="0.15">
      <c r="A11" s="745" t="s">
        <v>1666</v>
      </c>
      <c r="B11" s="698" t="s">
        <v>1667</v>
      </c>
      <c r="C11" s="708">
        <v>1</v>
      </c>
      <c r="D11" s="708" t="s">
        <v>1</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8" orientation="portrait" horizontalDpi="0" verticalDpi="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591F0-A66F-4C2A-BC6D-364B88FCC33A}">
  <sheetPr codeName="Sheet37"/>
  <dimension ref="A1:F52"/>
  <sheetViews>
    <sheetView view="pageBreakPreview" zoomScale="90" zoomScaleNormal="100" zoomScaleSheetLayoutView="90" workbookViewId="0">
      <selection activeCell="A5" sqref="A5"/>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697" t="s">
        <v>1556</v>
      </c>
      <c r="B10" s="698" t="s">
        <v>1663</v>
      </c>
      <c r="C10" s="696">
        <v>1</v>
      </c>
      <c r="D10" s="761"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709"/>
      <c r="C37" s="831"/>
      <c r="D37" s="831"/>
      <c r="E37" s="696"/>
      <c r="F37" s="696"/>
    </row>
    <row r="38" spans="1:6" ht="16" x14ac:dyDescent="0.15">
      <c r="A38" s="709">
        <v>2</v>
      </c>
      <c r="B38" s="709"/>
      <c r="C38" s="831"/>
      <c r="D38" s="831"/>
      <c r="E38" s="696"/>
      <c r="F38" s="696"/>
    </row>
    <row r="39" spans="1:6" ht="16" x14ac:dyDescent="0.15">
      <c r="A39" s="709">
        <v>3</v>
      </c>
      <c r="B39" s="709"/>
      <c r="C39" s="831"/>
      <c r="D39" s="831"/>
      <c r="E39" s="696"/>
      <c r="F39" s="696"/>
    </row>
    <row r="40" spans="1:6" ht="16" x14ac:dyDescent="0.15">
      <c r="A40" s="709">
        <v>4</v>
      </c>
      <c r="B40" s="709"/>
      <c r="C40" s="831"/>
      <c r="D40" s="831"/>
      <c r="E40" s="696"/>
      <c r="F40" s="696"/>
    </row>
    <row r="41" spans="1:6" ht="16" x14ac:dyDescent="0.15">
      <c r="A41" s="709">
        <v>5</v>
      </c>
      <c r="B41" s="709"/>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95835-2CCD-437D-AAC9-A24C3AC5C5BB}">
  <sheetPr codeName="Sheet38"/>
  <dimension ref="A1:F53"/>
  <sheetViews>
    <sheetView view="pageBreakPreview" zoomScale="90" zoomScaleNormal="100" zoomScaleSheetLayoutView="90" workbookViewId="0">
      <selection activeCell="A5" sqref="A5"/>
    </sheetView>
  </sheetViews>
  <sheetFormatPr baseColWidth="10" defaultColWidth="8.83203125" defaultRowHeight="13" x14ac:dyDescent="0.15"/>
  <cols>
    <col min="1" max="1" width="6" customWidth="1"/>
    <col min="2" max="2" width="60.5" bestFit="1" customWidth="1"/>
    <col min="3" max="3" width="8.66406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4.9000000000000004</v>
      </c>
      <c r="B10" s="753" t="s">
        <v>1653</v>
      </c>
      <c r="C10" s="696"/>
      <c r="D10" s="696"/>
      <c r="E10" s="696"/>
      <c r="F10" s="696"/>
    </row>
    <row r="11" spans="1:6" ht="34" x14ac:dyDescent="0.15">
      <c r="A11" s="697" t="s">
        <v>1661</v>
      </c>
      <c r="B11" s="704" t="s">
        <v>1662</v>
      </c>
      <c r="C11" s="708">
        <v>1</v>
      </c>
      <c r="D11" s="756" t="s">
        <v>5</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A49:E49"/>
    <mergeCell ref="C51:F51"/>
    <mergeCell ref="C52:F52"/>
    <mergeCell ref="C53:F53"/>
    <mergeCell ref="B43:E43"/>
    <mergeCell ref="A44:F44"/>
    <mergeCell ref="A45:D45"/>
    <mergeCell ref="A46:D46"/>
    <mergeCell ref="A47:E47"/>
    <mergeCell ref="A48:E48"/>
    <mergeCell ref="C42:D42"/>
    <mergeCell ref="C31:D31"/>
    <mergeCell ref="C32:D32"/>
    <mergeCell ref="C33:D33"/>
    <mergeCell ref="B34:E34"/>
    <mergeCell ref="A35:F35"/>
    <mergeCell ref="B36:F36"/>
    <mergeCell ref="C37:D37"/>
    <mergeCell ref="C38:D38"/>
    <mergeCell ref="C39:D39"/>
    <mergeCell ref="C40:D40"/>
    <mergeCell ref="C41:D41"/>
    <mergeCell ref="C30:D30"/>
    <mergeCell ref="A1:F2"/>
    <mergeCell ref="E3:F3"/>
    <mergeCell ref="A4:F4"/>
    <mergeCell ref="A7:F7"/>
    <mergeCell ref="A12:F12"/>
    <mergeCell ref="B13:F13"/>
    <mergeCell ref="B25:E25"/>
    <mergeCell ref="A26:F26"/>
    <mergeCell ref="B27:F27"/>
    <mergeCell ref="C28:D28"/>
    <mergeCell ref="C29:D29"/>
  </mergeCells>
  <pageMargins left="0.7" right="0.7" top="0.75" bottom="0.75" header="0.3" footer="0.3"/>
  <pageSetup paperSize="14" scale="78" orientation="portrait" horizontalDpi="0" verticalDpi="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6D15B-AB56-46A9-8401-16AC88C578D2}">
  <sheetPr codeName="Sheet39"/>
  <dimension ref="A1:F53"/>
  <sheetViews>
    <sheetView view="pageBreakPreview" topLeftCell="A2" zoomScale="90" zoomScaleNormal="100" zoomScaleSheetLayoutView="90" workbookViewId="0">
      <selection activeCell="A10" sqref="A10:B10"/>
    </sheetView>
  </sheetViews>
  <sheetFormatPr baseColWidth="10" defaultColWidth="8.83203125" defaultRowHeight="13" x14ac:dyDescent="0.15"/>
  <cols>
    <col min="1" max="1" width="6" customWidth="1"/>
    <col min="2" max="2" width="60.5" bestFit="1" customWidth="1"/>
    <col min="3" max="3" width="8.66406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tr">
        <f>'BLANK BOQ'!B35</f>
        <v>Architectural Works</v>
      </c>
      <c r="C9" s="696"/>
      <c r="D9" s="696"/>
      <c r="E9" s="696"/>
      <c r="F9" s="696"/>
    </row>
    <row r="10" spans="1:6" ht="17" x14ac:dyDescent="0.15">
      <c r="A10" s="758">
        <v>4.9000000000000004</v>
      </c>
      <c r="B10" s="753" t="s">
        <v>1653</v>
      </c>
      <c r="C10" s="696"/>
      <c r="D10" s="696"/>
      <c r="E10" s="696"/>
      <c r="F10" s="696"/>
    </row>
    <row r="11" spans="1:6" ht="17" x14ac:dyDescent="0.15">
      <c r="A11" s="697" t="s">
        <v>1659</v>
      </c>
      <c r="B11" s="698" t="s">
        <v>1660</v>
      </c>
      <c r="C11" s="760">
        <v>101.28800000000001</v>
      </c>
      <c r="D11" s="699" t="s">
        <v>892</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8" orientation="portrait" horizontalDpi="0" verticalDpi="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F0FBB-6EF6-4C1D-9C10-44C19B5B554E}">
  <sheetPr codeName="Sheet40"/>
  <dimension ref="A1:F53"/>
  <sheetViews>
    <sheetView view="pageBreakPreview" zoomScale="90" zoomScaleNormal="100" zoomScaleSheetLayoutView="90" workbookViewId="0">
      <selection activeCell="A10" sqref="A10:B10"/>
    </sheetView>
  </sheetViews>
  <sheetFormatPr baseColWidth="10" defaultColWidth="8.83203125" defaultRowHeight="13" x14ac:dyDescent="0.15"/>
  <cols>
    <col min="1" max="1" width="6" customWidth="1"/>
    <col min="2" max="2" width="60.5" bestFit="1" customWidth="1"/>
    <col min="3" max="3" width="8.66406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4.9000000000000004</v>
      </c>
      <c r="B10" s="753" t="s">
        <v>1653</v>
      </c>
      <c r="C10" s="696"/>
      <c r="D10" s="696"/>
      <c r="E10" s="696"/>
      <c r="F10" s="696"/>
    </row>
    <row r="11" spans="1:6" ht="22" customHeight="1" x14ac:dyDescent="0.15">
      <c r="A11" s="751" t="s">
        <v>1658</v>
      </c>
      <c r="B11" s="698" t="s">
        <v>1204</v>
      </c>
      <c r="C11" s="760">
        <v>61.366799999999998</v>
      </c>
      <c r="D11" s="699" t="s">
        <v>892</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709"/>
      <c r="C29" s="831"/>
      <c r="D29" s="831"/>
      <c r="E29" s="696"/>
      <c r="F29" s="696"/>
    </row>
    <row r="30" spans="1:6" ht="16" x14ac:dyDescent="0.15">
      <c r="A30" s="709">
        <v>2</v>
      </c>
      <c r="B30" s="709"/>
      <c r="C30" s="831"/>
      <c r="D30" s="831"/>
      <c r="E30" s="696"/>
      <c r="F30" s="696"/>
    </row>
    <row r="31" spans="1:6" ht="16" x14ac:dyDescent="0.15">
      <c r="A31" s="709">
        <v>3</v>
      </c>
      <c r="B31" s="709"/>
      <c r="C31" s="831"/>
      <c r="D31" s="831"/>
      <c r="E31" s="696"/>
      <c r="F31" s="696"/>
    </row>
    <row r="32" spans="1:6" ht="16" x14ac:dyDescent="0.15">
      <c r="A32" s="709">
        <v>4</v>
      </c>
      <c r="B32" s="709"/>
      <c r="C32" s="831"/>
      <c r="D32" s="831"/>
      <c r="E32" s="696"/>
      <c r="F32" s="696"/>
    </row>
    <row r="33" spans="1:6" ht="16" x14ac:dyDescent="0.15">
      <c r="A33" s="709">
        <v>5</v>
      </c>
      <c r="B33" s="709"/>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8" orientation="portrait" horizontalDpi="0" verticalDpi="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DB26-5087-4A84-ADF5-8B2DADF87D3D}">
  <sheetPr codeName="Sheet41"/>
  <dimension ref="A1:F53"/>
  <sheetViews>
    <sheetView view="pageBreakPreview" zoomScale="90" zoomScaleNormal="100" zoomScaleSheetLayoutView="90" workbookViewId="0">
      <selection activeCell="A10" sqref="A10:B10"/>
    </sheetView>
  </sheetViews>
  <sheetFormatPr baseColWidth="10" defaultColWidth="8.83203125" defaultRowHeight="13" x14ac:dyDescent="0.15"/>
  <cols>
    <col min="1" max="1" width="6" customWidth="1"/>
    <col min="2" max="2" width="60.5" bestFit="1" customWidth="1"/>
    <col min="3" max="3" width="8.3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4.9000000000000004</v>
      </c>
      <c r="B10" s="753" t="s">
        <v>1653</v>
      </c>
      <c r="C10" s="696"/>
      <c r="D10" s="696"/>
      <c r="E10" s="696"/>
      <c r="F10" s="696"/>
    </row>
    <row r="11" spans="1:6" ht="34" x14ac:dyDescent="0.15">
      <c r="A11" s="697" t="s">
        <v>1656</v>
      </c>
      <c r="B11" s="698" t="s">
        <v>1657</v>
      </c>
      <c r="C11" s="757">
        <v>38.775000000000006</v>
      </c>
      <c r="D11" s="756" t="s">
        <v>892</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8" orientation="portrait" horizontalDpi="0" verticalDpi="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D650B-9930-4597-A61B-55CC956FD0C2}">
  <sheetPr codeName="Sheet42"/>
  <dimension ref="A1:F53"/>
  <sheetViews>
    <sheetView view="pageBreakPreview" zoomScale="90" zoomScaleNormal="100" zoomScaleSheetLayoutView="90" workbookViewId="0">
      <selection activeCell="A10" sqref="A10:B10"/>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4.9000000000000004</v>
      </c>
      <c r="B10" s="753" t="s">
        <v>1653</v>
      </c>
      <c r="C10" s="696"/>
      <c r="D10" s="696"/>
      <c r="E10" s="696"/>
      <c r="F10" s="696"/>
    </row>
    <row r="11" spans="1:6" ht="34" x14ac:dyDescent="0.15">
      <c r="A11" s="697" t="s">
        <v>1654</v>
      </c>
      <c r="B11" s="698" t="s">
        <v>1655</v>
      </c>
      <c r="C11" s="757">
        <v>7.7550000000000008</v>
      </c>
      <c r="D11" s="756" t="s">
        <v>892</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9" orientation="portrait" horizontalDpi="0" verticalDpi="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EA71A-D9B6-45F8-B45E-922FFBCADC86}">
  <sheetPr codeName="Sheet43"/>
  <dimension ref="A1:F53"/>
  <sheetViews>
    <sheetView view="pageBreakPreview" topLeftCell="A3" zoomScale="90" zoomScaleNormal="100" zoomScaleSheetLayoutView="90" workbookViewId="0">
      <selection activeCell="C11" sqref="C11:D11"/>
    </sheetView>
  </sheetViews>
  <sheetFormatPr baseColWidth="10" defaultColWidth="8.83203125" defaultRowHeight="13" x14ac:dyDescent="0.15"/>
  <cols>
    <col min="1" max="1" width="6" customWidth="1"/>
    <col min="2" max="2" width="60.5" bestFit="1" customWidth="1"/>
    <col min="3" max="3" width="9.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4.8</v>
      </c>
      <c r="B10" s="753" t="s">
        <v>1646</v>
      </c>
      <c r="C10" s="696"/>
      <c r="D10" s="696"/>
      <c r="E10" s="696"/>
      <c r="F10" s="696"/>
    </row>
    <row r="11" spans="1:6" ht="34" x14ac:dyDescent="0.15">
      <c r="A11" s="697" t="s">
        <v>1651</v>
      </c>
      <c r="B11" s="698" t="s">
        <v>1652</v>
      </c>
      <c r="C11" s="757">
        <v>34.012000000000008</v>
      </c>
      <c r="D11" s="756" t="s">
        <v>892</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8" orientation="portrait" horizontalDpi="0" verticalDpi="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CBD71-EAB7-491C-89E0-3EE21BFEDB3E}">
  <sheetPr codeName="Sheet44"/>
  <dimension ref="A1:F53"/>
  <sheetViews>
    <sheetView view="pageBreakPreview" zoomScale="90" zoomScaleNormal="100" zoomScaleSheetLayoutView="90" workbookViewId="0">
      <selection activeCell="A10" sqref="A10:B10"/>
    </sheetView>
  </sheetViews>
  <sheetFormatPr baseColWidth="10" defaultColWidth="8.83203125" defaultRowHeight="13" x14ac:dyDescent="0.15"/>
  <cols>
    <col min="1" max="1" width="6" customWidth="1"/>
    <col min="2" max="2" width="60.5" bestFit="1" customWidth="1"/>
    <col min="3" max="3" width="9.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4.8</v>
      </c>
      <c r="B10" s="753" t="s">
        <v>1646</v>
      </c>
      <c r="C10" s="696"/>
      <c r="D10" s="696"/>
      <c r="E10" s="696"/>
      <c r="F10" s="696"/>
    </row>
    <row r="11" spans="1:6" ht="17" x14ac:dyDescent="0.15">
      <c r="A11" s="697" t="s">
        <v>1649</v>
      </c>
      <c r="B11" s="704" t="s">
        <v>1650</v>
      </c>
      <c r="C11" s="699">
        <v>186.64800000000002</v>
      </c>
      <c r="D11" s="699" t="s">
        <v>892</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8" orientation="portrait" horizontalDpi="0" verticalDpi="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95DCD-96A2-466C-BA7E-8D98AC067305}">
  <sheetPr codeName="Sheet45"/>
  <dimension ref="A1:F53"/>
  <sheetViews>
    <sheetView view="pageBreakPreview" zoomScale="90" zoomScaleNormal="100" zoomScaleSheetLayoutView="90" workbookViewId="0">
      <selection activeCell="C11" sqref="C11:D11"/>
    </sheetView>
  </sheetViews>
  <sheetFormatPr baseColWidth="10" defaultColWidth="8.83203125" defaultRowHeight="13" x14ac:dyDescent="0.15"/>
  <cols>
    <col min="1" max="1" width="6" customWidth="1"/>
    <col min="2" max="2" width="60.5" bestFit="1" customWidth="1"/>
    <col min="3" max="3" width="9.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4.8</v>
      </c>
      <c r="B10" s="753" t="s">
        <v>1646</v>
      </c>
      <c r="C10" s="696"/>
      <c r="D10" s="696"/>
      <c r="E10" s="696"/>
      <c r="F10" s="696"/>
    </row>
    <row r="11" spans="1:6" ht="31.5" customHeight="1" x14ac:dyDescent="0.15">
      <c r="A11" s="697" t="s">
        <v>1647</v>
      </c>
      <c r="B11" s="698" t="s">
        <v>1648</v>
      </c>
      <c r="C11" s="756">
        <v>84.590000000000018</v>
      </c>
      <c r="D11" s="756" t="s">
        <v>892</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8"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B83BC-8049-5D45-87AE-DA6602047427}">
  <dimension ref="A1:F52"/>
  <sheetViews>
    <sheetView view="pageBreakPreview" topLeftCell="A7" zoomScale="90" zoomScaleNormal="100" zoomScaleSheetLayoutView="90" workbookViewId="0">
      <selection activeCell="B17" sqref="B17"/>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A8" s="941"/>
      <c r="B8" s="942"/>
      <c r="C8" s="696" t="s">
        <v>100</v>
      </c>
      <c r="D8" s="696" t="s">
        <v>104</v>
      </c>
      <c r="E8" s="696" t="s">
        <v>1530</v>
      </c>
      <c r="F8" s="696" t="s">
        <v>1531</v>
      </c>
    </row>
    <row r="9" spans="1:6" ht="16" x14ac:dyDescent="0.15">
      <c r="A9" s="944">
        <v>7</v>
      </c>
      <c r="B9" s="943" t="s">
        <v>633</v>
      </c>
      <c r="C9" s="696"/>
      <c r="D9" s="696"/>
      <c r="E9" s="696"/>
      <c r="F9" s="696"/>
    </row>
    <row r="10" spans="1:6" ht="17" x14ac:dyDescent="0.15">
      <c r="A10" s="947">
        <v>7.5</v>
      </c>
      <c r="B10" s="946" t="s">
        <v>1705</v>
      </c>
      <c r="C10" s="948">
        <v>2</v>
      </c>
      <c r="D10" s="949" t="s">
        <v>1</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5">
    <mergeCell ref="A47:E47"/>
    <mergeCell ref="A48:E48"/>
    <mergeCell ref="C50:F50"/>
    <mergeCell ref="C51:F51"/>
    <mergeCell ref="C52:F52"/>
    <mergeCell ref="C41:D41"/>
    <mergeCell ref="B42:E42"/>
    <mergeCell ref="A43:F43"/>
    <mergeCell ref="A44:D44"/>
    <mergeCell ref="A45:D45"/>
    <mergeCell ref="A46:E46"/>
    <mergeCell ref="B35:F35"/>
    <mergeCell ref="C36:D36"/>
    <mergeCell ref="C37:D37"/>
    <mergeCell ref="C38:D38"/>
    <mergeCell ref="C39:D39"/>
    <mergeCell ref="C40:D40"/>
    <mergeCell ref="C29:D29"/>
    <mergeCell ref="C30:D30"/>
    <mergeCell ref="C31:D31"/>
    <mergeCell ref="C32:D32"/>
    <mergeCell ref="B33:E33"/>
    <mergeCell ref="A34:F34"/>
    <mergeCell ref="B12:F12"/>
    <mergeCell ref="B24:E24"/>
    <mergeCell ref="A25:F25"/>
    <mergeCell ref="B26:F26"/>
    <mergeCell ref="C27:D27"/>
    <mergeCell ref="C28:D28"/>
    <mergeCell ref="A1:F2"/>
    <mergeCell ref="E3:F3"/>
    <mergeCell ref="A4:F4"/>
    <mergeCell ref="A7:F7"/>
    <mergeCell ref="A8:B8"/>
    <mergeCell ref="A11:F11"/>
  </mergeCells>
  <pageMargins left="0.7" right="0.7" top="0.75" bottom="0.75" header="0.3" footer="0.3"/>
  <pageSetup paperSize="14" scale="79" orientation="portrait" horizontalDpi="0" verticalDpi="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D395B-FEB6-4A6F-ADBF-161FC8A755B4}">
  <sheetPr codeName="Sheet46"/>
  <dimension ref="A1:F53"/>
  <sheetViews>
    <sheetView view="pageBreakPreview" zoomScale="80" zoomScaleNormal="100" zoomScaleSheetLayoutView="80" workbookViewId="0">
      <selection activeCell="A5" sqref="A5"/>
    </sheetView>
  </sheetViews>
  <sheetFormatPr baseColWidth="10" defaultColWidth="8.83203125" defaultRowHeight="13" x14ac:dyDescent="0.15"/>
  <cols>
    <col min="1" max="1" width="6" customWidth="1"/>
    <col min="2" max="2" width="60.5" bestFit="1" customWidth="1"/>
    <col min="3" max="3" width="11.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4.7</v>
      </c>
      <c r="B10" s="753" t="s">
        <v>118</v>
      </c>
      <c r="C10" s="696"/>
      <c r="D10" s="696"/>
      <c r="E10" s="696"/>
      <c r="F10" s="696"/>
    </row>
    <row r="11" spans="1:6" ht="17" x14ac:dyDescent="0.15">
      <c r="A11" s="697" t="s">
        <v>1644</v>
      </c>
      <c r="B11" s="704" t="s">
        <v>1645</v>
      </c>
      <c r="C11" s="707">
        <v>281.52300000000008</v>
      </c>
      <c r="D11" s="754" t="s">
        <v>892</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6" orientation="portrait" horizontalDpi="0" verticalDpi="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88B2C-0D83-403F-AC4B-010A013965F4}">
  <sheetPr codeName="Sheet47"/>
  <dimension ref="A1:F53"/>
  <sheetViews>
    <sheetView view="pageBreakPreview" zoomScale="80" zoomScaleNormal="100" zoomScaleSheetLayoutView="80" workbookViewId="0">
      <selection activeCell="A5" sqref="A5"/>
    </sheetView>
  </sheetViews>
  <sheetFormatPr baseColWidth="10" defaultColWidth="8.83203125" defaultRowHeight="13" x14ac:dyDescent="0.15"/>
  <cols>
    <col min="1" max="1" width="6" customWidth="1"/>
    <col min="2" max="2" width="60.5" bestFit="1" customWidth="1"/>
    <col min="3" max="3" width="11.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4.7</v>
      </c>
      <c r="B10" s="753" t="s">
        <v>118</v>
      </c>
      <c r="C10" s="696"/>
      <c r="D10" s="696"/>
      <c r="E10" s="696"/>
      <c r="F10" s="696"/>
    </row>
    <row r="11" spans="1:6" ht="20" customHeight="1" x14ac:dyDescent="0.15">
      <c r="A11" s="751" t="s">
        <v>1642</v>
      </c>
      <c r="B11" s="705" t="s">
        <v>1643</v>
      </c>
      <c r="C11" s="706">
        <v>1513.66</v>
      </c>
      <c r="D11" s="754" t="s">
        <v>892</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6" orientation="portrait" horizontalDpi="0" verticalDpi="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A6A57-3E91-460B-BA38-A15F5AB2C5EA}">
  <sheetPr codeName="Sheet48"/>
  <dimension ref="A1:F53"/>
  <sheetViews>
    <sheetView view="pageBreakPreview" zoomScale="80" zoomScaleNormal="100" zoomScaleSheetLayoutView="80" workbookViewId="0">
      <selection activeCell="A5" sqref="A5"/>
    </sheetView>
  </sheetViews>
  <sheetFormatPr baseColWidth="10" defaultColWidth="8.83203125" defaultRowHeight="13" x14ac:dyDescent="0.15"/>
  <cols>
    <col min="1" max="1" width="6" customWidth="1"/>
    <col min="2" max="2" width="60.5" bestFit="1" customWidth="1"/>
    <col min="3" max="3" width="10.16406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4.5999999999999996</v>
      </c>
      <c r="B10" s="753" t="s">
        <v>743</v>
      </c>
      <c r="C10" s="696"/>
      <c r="D10" s="696"/>
      <c r="E10" s="696"/>
      <c r="F10" s="696"/>
    </row>
    <row r="11" spans="1:6" ht="34" x14ac:dyDescent="0.15">
      <c r="A11" s="697" t="s">
        <v>1640</v>
      </c>
      <c r="B11" s="704" t="s">
        <v>1641</v>
      </c>
      <c r="C11" s="707">
        <v>64.175999999999988</v>
      </c>
      <c r="D11" s="697" t="s">
        <v>892</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7" orientation="portrait" horizontalDpi="0" verticalDpi="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421DC-1DC2-4C32-BA9D-D03C727C3B09}">
  <sheetPr codeName="Sheet49"/>
  <dimension ref="A1:F53"/>
  <sheetViews>
    <sheetView view="pageBreakPreview" zoomScale="80" zoomScaleNormal="100" zoomScaleSheetLayoutView="80" workbookViewId="0">
      <selection activeCell="A5" sqref="A5"/>
    </sheetView>
  </sheetViews>
  <sheetFormatPr baseColWidth="10" defaultColWidth="8.83203125" defaultRowHeight="13" x14ac:dyDescent="0.15"/>
  <cols>
    <col min="1" max="1" width="6" customWidth="1"/>
    <col min="2" max="2" width="60.5" bestFit="1" customWidth="1"/>
    <col min="3" max="3" width="11.16406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4.5999999999999996</v>
      </c>
      <c r="B10" s="753" t="s">
        <v>743</v>
      </c>
      <c r="C10" s="696"/>
      <c r="D10" s="696"/>
      <c r="E10" s="696"/>
      <c r="F10" s="696"/>
    </row>
    <row r="11" spans="1:6" ht="17" x14ac:dyDescent="0.15">
      <c r="A11" s="697" t="s">
        <v>1638</v>
      </c>
      <c r="B11" s="704" t="s">
        <v>1639</v>
      </c>
      <c r="C11" s="706">
        <v>27.610000000000003</v>
      </c>
      <c r="D11" s="697" t="s">
        <v>892</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6" orientation="portrait" horizontalDpi="0" verticalDpi="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CA049-3FBB-44AF-BA82-E963D90A98B7}">
  <sheetPr codeName="Sheet50"/>
  <dimension ref="A1:F53"/>
  <sheetViews>
    <sheetView view="pageBreakPreview" zoomScale="80" zoomScaleNormal="100" zoomScaleSheetLayoutView="80" workbookViewId="0">
      <selection activeCell="A5" sqref="A5"/>
    </sheetView>
  </sheetViews>
  <sheetFormatPr baseColWidth="10" defaultColWidth="8.83203125" defaultRowHeight="13" x14ac:dyDescent="0.15"/>
  <cols>
    <col min="1" max="1" width="6" customWidth="1"/>
    <col min="2" max="2" width="59.33203125" customWidth="1"/>
    <col min="3" max="3" width="10"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4.5999999999999996</v>
      </c>
      <c r="B10" s="753" t="s">
        <v>743</v>
      </c>
      <c r="C10" s="696"/>
      <c r="D10" s="696"/>
      <c r="E10" s="696"/>
      <c r="F10" s="696"/>
    </row>
    <row r="11" spans="1:6" ht="17" x14ac:dyDescent="0.15">
      <c r="A11" s="697" t="s">
        <v>1636</v>
      </c>
      <c r="B11" s="704" t="s">
        <v>1637</v>
      </c>
      <c r="C11" s="706">
        <v>25.85</v>
      </c>
      <c r="D11" s="697" t="s">
        <v>892</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8" orientation="portrait" horizontalDpi="0" verticalDpi="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E23F2-A0AE-44D3-ABCD-8D737796A406}">
  <sheetPr codeName="Sheet51"/>
  <dimension ref="A1:F53"/>
  <sheetViews>
    <sheetView view="pageBreakPreview" zoomScale="80" zoomScaleNormal="100" zoomScaleSheetLayoutView="80" workbookViewId="0">
      <selection activeCell="A5" sqref="A5"/>
    </sheetView>
  </sheetViews>
  <sheetFormatPr baseColWidth="10" defaultColWidth="8.83203125" defaultRowHeight="13" x14ac:dyDescent="0.15"/>
  <cols>
    <col min="1" max="1" width="6" customWidth="1"/>
    <col min="2" max="2" width="60.5" bestFit="1" customWidth="1"/>
    <col min="3" max="3" width="12.16406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4.5999999999999996</v>
      </c>
      <c r="B10" s="753" t="s">
        <v>743</v>
      </c>
      <c r="C10" s="696"/>
      <c r="D10" s="696"/>
      <c r="E10" s="696"/>
      <c r="F10" s="696"/>
    </row>
    <row r="11" spans="1:6" ht="17" x14ac:dyDescent="0.15">
      <c r="A11" s="697" t="s">
        <v>1634</v>
      </c>
      <c r="B11" s="698" t="s">
        <v>1635</v>
      </c>
      <c r="C11" s="760">
        <v>170.03800000000004</v>
      </c>
      <c r="D11" s="700" t="s">
        <v>1559</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6" orientation="portrait" horizontalDpi="0" verticalDpi="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E830D-DF0B-47CD-8BCD-3B1C58118BE9}">
  <sheetPr codeName="Sheet52"/>
  <dimension ref="A1:F53"/>
  <sheetViews>
    <sheetView view="pageBreakPreview" zoomScale="80" zoomScaleNormal="100" zoomScaleSheetLayoutView="80" workbookViewId="0">
      <selection activeCell="A5" sqref="A5"/>
    </sheetView>
  </sheetViews>
  <sheetFormatPr baseColWidth="10" defaultColWidth="8.83203125" defaultRowHeight="13" x14ac:dyDescent="0.15"/>
  <cols>
    <col min="1" max="1" width="6" customWidth="1"/>
    <col min="2" max="2" width="60.5" bestFit="1" customWidth="1"/>
    <col min="3" max="3" width="10.33203125" customWidth="1"/>
    <col min="4" max="4" width="8.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4.5999999999999996</v>
      </c>
      <c r="B10" s="753" t="s">
        <v>743</v>
      </c>
      <c r="C10" s="696"/>
      <c r="D10" s="696"/>
      <c r="E10" s="696"/>
      <c r="F10" s="696"/>
    </row>
    <row r="11" spans="1:6" ht="17" x14ac:dyDescent="0.15">
      <c r="A11" s="697" t="s">
        <v>1632</v>
      </c>
      <c r="B11" s="698" t="s">
        <v>1633</v>
      </c>
      <c r="C11" s="760">
        <v>85.635000000000005</v>
      </c>
      <c r="D11" s="700" t="s">
        <v>1559</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9" scale="74" orientation="portrait" horizontalDpi="0"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D344-B40B-43A5-8970-9E1E1F81B517}">
  <sheetPr codeName="Sheet53"/>
  <dimension ref="A1:F53"/>
  <sheetViews>
    <sheetView view="pageBreakPreview" zoomScale="80" zoomScaleNormal="100" zoomScaleSheetLayoutView="80" workbookViewId="0">
      <selection activeCell="A5" sqref="A5"/>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4.5</v>
      </c>
      <c r="B10" s="753" t="s">
        <v>1627</v>
      </c>
      <c r="C10" s="696"/>
      <c r="D10" s="696"/>
      <c r="E10" s="696"/>
      <c r="F10" s="696"/>
    </row>
    <row r="11" spans="1:6" ht="33.75" customHeight="1" x14ac:dyDescent="0.15">
      <c r="A11" s="697" t="s">
        <v>1631</v>
      </c>
      <c r="B11" s="704" t="s">
        <v>1618</v>
      </c>
      <c r="C11" s="708">
        <v>1</v>
      </c>
      <c r="D11" s="750" t="s">
        <v>5</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9" orientation="portrait" horizontalDpi="0" verticalDpi="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A6F4D-A86C-4244-8361-18342F5D23F2}">
  <sheetPr codeName="Sheet54"/>
  <dimension ref="A1:F53"/>
  <sheetViews>
    <sheetView view="pageBreakPreview" zoomScale="80" zoomScaleNormal="100" zoomScaleSheetLayoutView="80" workbookViewId="0">
      <selection activeCell="A5" sqref="A5"/>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4.5</v>
      </c>
      <c r="B10" s="753" t="s">
        <v>1627</v>
      </c>
      <c r="C10" s="696"/>
      <c r="D10" s="696"/>
      <c r="E10" s="696"/>
      <c r="F10" s="696"/>
    </row>
    <row r="11" spans="1:6" ht="17" x14ac:dyDescent="0.15">
      <c r="A11" s="697" t="s">
        <v>1630</v>
      </c>
      <c r="B11" s="704" t="s">
        <v>1135</v>
      </c>
      <c r="C11" s="696">
        <v>1</v>
      </c>
      <c r="D11" s="700" t="s">
        <v>5</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9" orientation="portrait" horizontalDpi="0" verticalDpi="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237AF-1AAC-4238-BEDB-FD6EAD034D93}">
  <sheetPr codeName="Sheet55"/>
  <dimension ref="A1:F53"/>
  <sheetViews>
    <sheetView view="pageBreakPreview" zoomScale="80" zoomScaleNormal="100" zoomScaleSheetLayoutView="80" workbookViewId="0">
      <selection activeCell="A5" sqref="A5"/>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4.5</v>
      </c>
      <c r="B10" s="753" t="s">
        <v>1627</v>
      </c>
      <c r="C10" s="696"/>
      <c r="D10" s="696"/>
      <c r="E10" s="696"/>
      <c r="F10" s="696"/>
    </row>
    <row r="11" spans="1:6" ht="34" x14ac:dyDescent="0.15">
      <c r="A11" s="697" t="s">
        <v>1629</v>
      </c>
      <c r="B11" s="704" t="s">
        <v>1625</v>
      </c>
      <c r="C11" s="696">
        <v>1</v>
      </c>
      <c r="D11" s="700" t="s">
        <v>5</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AC18-C936-314F-A96E-F234356F6F2B}">
  <dimension ref="A1:F52"/>
  <sheetViews>
    <sheetView view="pageBreakPreview" zoomScale="90" zoomScaleNormal="100" zoomScaleSheetLayoutView="90" workbookViewId="0">
      <selection activeCell="B14" sqref="B14"/>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A8" s="941"/>
      <c r="B8" s="942"/>
      <c r="C8" s="696" t="s">
        <v>100</v>
      </c>
      <c r="D8" s="696" t="s">
        <v>104</v>
      </c>
      <c r="E8" s="696" t="s">
        <v>1530</v>
      </c>
      <c r="F8" s="696" t="s">
        <v>1531</v>
      </c>
    </row>
    <row r="9" spans="1:6" ht="16" x14ac:dyDescent="0.15">
      <c r="A9" s="944">
        <v>7</v>
      </c>
      <c r="B9" s="943" t="s">
        <v>633</v>
      </c>
      <c r="C9" s="696"/>
      <c r="D9" s="696"/>
      <c r="E9" s="696"/>
      <c r="F9" s="696"/>
    </row>
    <row r="10" spans="1:6" ht="34" x14ac:dyDescent="0.15">
      <c r="A10" s="947">
        <v>7.4</v>
      </c>
      <c r="B10" s="946" t="s">
        <v>1704</v>
      </c>
      <c r="C10" s="948">
        <v>1</v>
      </c>
      <c r="D10" s="949" t="s">
        <v>1</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5">
    <mergeCell ref="A47:E47"/>
    <mergeCell ref="A48:E48"/>
    <mergeCell ref="C50:F50"/>
    <mergeCell ref="C51:F51"/>
    <mergeCell ref="C52:F52"/>
    <mergeCell ref="C41:D41"/>
    <mergeCell ref="B42:E42"/>
    <mergeCell ref="A43:F43"/>
    <mergeCell ref="A44:D44"/>
    <mergeCell ref="A45:D45"/>
    <mergeCell ref="A46:E46"/>
    <mergeCell ref="B35:F35"/>
    <mergeCell ref="C36:D36"/>
    <mergeCell ref="C37:D37"/>
    <mergeCell ref="C38:D38"/>
    <mergeCell ref="C39:D39"/>
    <mergeCell ref="C40:D40"/>
    <mergeCell ref="C29:D29"/>
    <mergeCell ref="C30:D30"/>
    <mergeCell ref="C31:D31"/>
    <mergeCell ref="C32:D32"/>
    <mergeCell ref="B33:E33"/>
    <mergeCell ref="A34:F34"/>
    <mergeCell ref="B12:F12"/>
    <mergeCell ref="B24:E24"/>
    <mergeCell ref="A25:F25"/>
    <mergeCell ref="B26:F26"/>
    <mergeCell ref="C27:D27"/>
    <mergeCell ref="C28:D28"/>
    <mergeCell ref="A1:F2"/>
    <mergeCell ref="E3:F3"/>
    <mergeCell ref="A4:F4"/>
    <mergeCell ref="A7:F7"/>
    <mergeCell ref="A8:B8"/>
    <mergeCell ref="A11:F11"/>
  </mergeCells>
  <pageMargins left="0.7" right="0.7" top="0.75" bottom="0.75" header="0.3" footer="0.3"/>
  <pageSetup paperSize="14" scale="79" orientation="portrait" horizontalDpi="0" verticalDpi="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0694E-519A-4FE1-8380-29150302BE31}">
  <sheetPr codeName="Sheet56"/>
  <dimension ref="A1:F53"/>
  <sheetViews>
    <sheetView view="pageBreakPreview" zoomScale="80" zoomScaleNormal="100" zoomScaleSheetLayoutView="80" workbookViewId="0">
      <selection activeCell="A5" sqref="A5"/>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4.5</v>
      </c>
      <c r="B10" s="753" t="s">
        <v>1627</v>
      </c>
      <c r="C10" s="696"/>
      <c r="D10" s="696"/>
      <c r="E10" s="696"/>
      <c r="F10" s="696"/>
    </row>
    <row r="11" spans="1:6" ht="17" x14ac:dyDescent="0.15">
      <c r="A11" s="751" t="s">
        <v>1628</v>
      </c>
      <c r="B11" s="705" t="s">
        <v>1623</v>
      </c>
      <c r="C11" s="696">
        <v>1</v>
      </c>
      <c r="D11" s="700" t="s">
        <v>5</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9" orientation="portrait" horizontalDpi="0" verticalDpi="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2AA4-4EC9-4A67-BC8E-1CD49FD77780}">
  <sheetPr codeName="Sheet57"/>
  <dimension ref="A1:F53"/>
  <sheetViews>
    <sheetView view="pageBreakPreview" zoomScale="80" zoomScaleNormal="100" zoomScaleSheetLayoutView="80" workbookViewId="0">
      <selection activeCell="A5" sqref="A5"/>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4.4000000000000004</v>
      </c>
      <c r="B10" s="753" t="s">
        <v>1504</v>
      </c>
      <c r="C10" s="696"/>
      <c r="D10" s="696"/>
      <c r="E10" s="696"/>
      <c r="F10" s="696"/>
    </row>
    <row r="11" spans="1:6" ht="33" customHeight="1" x14ac:dyDescent="0.15">
      <c r="A11" s="697" t="s">
        <v>1626</v>
      </c>
      <c r="B11" s="698" t="s">
        <v>1618</v>
      </c>
      <c r="C11" s="708">
        <v>1</v>
      </c>
      <c r="D11" s="750" t="s">
        <v>5</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9" orientation="portrait" horizontalDpi="0" verticalDpi="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A91B2-22AD-457C-8007-E0F46B419FB7}">
  <sheetPr codeName="Sheet58"/>
  <dimension ref="A1:F53"/>
  <sheetViews>
    <sheetView view="pageBreakPreview" topLeftCell="A3" zoomScale="80" zoomScaleNormal="100" zoomScaleSheetLayoutView="80" workbookViewId="0">
      <selection activeCell="A5" sqref="A5"/>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4.4000000000000004</v>
      </c>
      <c r="B10" s="753" t="s">
        <v>1504</v>
      </c>
      <c r="C10" s="696"/>
      <c r="D10" s="696"/>
      <c r="E10" s="696"/>
      <c r="F10" s="696"/>
    </row>
    <row r="11" spans="1:6" ht="21" customHeight="1" x14ac:dyDescent="0.15">
      <c r="A11" s="751" t="s">
        <v>1624</v>
      </c>
      <c r="B11" s="698" t="s">
        <v>1625</v>
      </c>
      <c r="C11" s="696">
        <v>1</v>
      </c>
      <c r="D11" s="700" t="s">
        <v>5</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709"/>
      <c r="C29" s="831"/>
      <c r="D29" s="831"/>
      <c r="E29" s="696"/>
      <c r="F29" s="696"/>
    </row>
    <row r="30" spans="1:6" ht="16" x14ac:dyDescent="0.15">
      <c r="A30" s="709">
        <v>2</v>
      </c>
      <c r="B30" s="709"/>
      <c r="C30" s="831"/>
      <c r="D30" s="831"/>
      <c r="E30" s="696"/>
      <c r="F30" s="696"/>
    </row>
    <row r="31" spans="1:6" ht="16" x14ac:dyDescent="0.15">
      <c r="A31" s="709">
        <v>3</v>
      </c>
      <c r="B31" s="709"/>
      <c r="C31" s="831"/>
      <c r="D31" s="831"/>
      <c r="E31" s="696"/>
      <c r="F31" s="696"/>
    </row>
    <row r="32" spans="1:6" ht="16" x14ac:dyDescent="0.15">
      <c r="A32" s="709">
        <v>4</v>
      </c>
      <c r="B32" s="709"/>
      <c r="C32" s="831"/>
      <c r="D32" s="831"/>
      <c r="E32" s="696"/>
      <c r="F32" s="696"/>
    </row>
    <row r="33" spans="1:6" ht="16" x14ac:dyDescent="0.15">
      <c r="A33" s="709">
        <v>5</v>
      </c>
      <c r="B33" s="709"/>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9" orientation="portrait" horizontalDpi="0" verticalDpi="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1BD25-20E1-419E-91F0-CD0FD9FFAB82}">
  <sheetPr codeName="Sheet59"/>
  <dimension ref="A1:F53"/>
  <sheetViews>
    <sheetView view="pageBreakPreview" zoomScale="80" zoomScaleNormal="100" zoomScaleSheetLayoutView="80" workbookViewId="0">
      <selection activeCell="A5" sqref="A5"/>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4.4000000000000004</v>
      </c>
      <c r="B10" s="753" t="s">
        <v>1504</v>
      </c>
      <c r="C10" s="696"/>
      <c r="D10" s="696"/>
      <c r="E10" s="696"/>
      <c r="F10" s="696"/>
    </row>
    <row r="11" spans="1:6" ht="17" x14ac:dyDescent="0.15">
      <c r="A11" s="697" t="s">
        <v>1622</v>
      </c>
      <c r="B11" s="698" t="s">
        <v>1623</v>
      </c>
      <c r="C11" s="696">
        <v>1</v>
      </c>
      <c r="D11" s="700" t="s">
        <v>5</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9" orientation="portrait" horizontalDpi="0" verticalDpi="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D1347-67E3-47EE-9D0C-7D8B799985A8}">
  <sheetPr codeName="Sheet60"/>
  <dimension ref="A1:F53"/>
  <sheetViews>
    <sheetView view="pageBreakPreview" zoomScale="80" zoomScaleNormal="100" zoomScaleSheetLayoutView="80" workbookViewId="0">
      <selection activeCell="B9" sqref="B9"/>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4.4000000000000004</v>
      </c>
      <c r="B10" s="753" t="s">
        <v>1504</v>
      </c>
      <c r="C10" s="696"/>
      <c r="D10" s="696"/>
      <c r="E10" s="696"/>
      <c r="F10" s="696"/>
    </row>
    <row r="11" spans="1:6" ht="34" x14ac:dyDescent="0.15">
      <c r="A11" s="697" t="s">
        <v>1620</v>
      </c>
      <c r="B11" s="698" t="s">
        <v>1621</v>
      </c>
      <c r="C11" s="708">
        <f>+[1]BOQ!$E$16</f>
        <v>1</v>
      </c>
      <c r="D11" s="750" t="s">
        <v>5</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9" orientation="portrait" horizontalDpi="0" verticalDpi="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FFE61-AF50-4015-BF79-457D7517CB51}">
  <sheetPr codeName="Sheet61"/>
  <dimension ref="A1:F53"/>
  <sheetViews>
    <sheetView view="pageBreakPreview" topLeftCell="A2" zoomScale="80" zoomScaleNormal="100" zoomScaleSheetLayoutView="80" workbookViewId="0">
      <selection activeCell="B9" sqref="B9"/>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4.3</v>
      </c>
      <c r="B10" s="753" t="s">
        <v>1614</v>
      </c>
      <c r="C10" s="696"/>
      <c r="D10" s="696"/>
      <c r="E10" s="696"/>
      <c r="F10" s="696"/>
    </row>
    <row r="11" spans="1:6" ht="17" x14ac:dyDescent="0.15">
      <c r="A11" s="697" t="s">
        <v>1619</v>
      </c>
      <c r="B11" s="698" t="s">
        <v>1116</v>
      </c>
      <c r="C11" s="696">
        <v>1</v>
      </c>
      <c r="D11" s="700" t="s">
        <v>5</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9" orientation="portrait" horizontalDpi="0" verticalDpi="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5D497-9077-4B8D-A096-F7B34E818172}">
  <sheetPr codeName="Sheet62"/>
  <dimension ref="A1:F53"/>
  <sheetViews>
    <sheetView view="pageBreakPreview" zoomScale="80" zoomScaleNormal="100" zoomScaleSheetLayoutView="80" workbookViewId="0">
      <selection activeCell="B9" sqref="B9"/>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4.3</v>
      </c>
      <c r="B10" s="753" t="s">
        <v>1614</v>
      </c>
      <c r="C10" s="696"/>
      <c r="D10" s="696"/>
      <c r="E10" s="696"/>
      <c r="F10" s="696"/>
    </row>
    <row r="11" spans="1:6" ht="34.5" customHeight="1" x14ac:dyDescent="0.15">
      <c r="A11" s="697" t="s">
        <v>1617</v>
      </c>
      <c r="B11" s="698" t="s">
        <v>1618</v>
      </c>
      <c r="C11" s="708">
        <v>1</v>
      </c>
      <c r="D11" s="750" t="s">
        <v>5</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9" orientation="portrait" horizontalDpi="0" verticalDpi="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43DED-84F8-48CA-9030-C3141E46186D}">
  <sheetPr codeName="Sheet63"/>
  <dimension ref="A1:F53"/>
  <sheetViews>
    <sheetView view="pageBreakPreview" zoomScale="80" zoomScaleNormal="100" zoomScaleSheetLayoutView="80" workbookViewId="0">
      <selection activeCell="B9" sqref="B9"/>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4.3</v>
      </c>
      <c r="B10" s="753" t="s">
        <v>1614</v>
      </c>
      <c r="C10" s="696"/>
      <c r="D10" s="696"/>
      <c r="E10" s="696"/>
      <c r="F10" s="696"/>
    </row>
    <row r="11" spans="1:6" ht="17" x14ac:dyDescent="0.15">
      <c r="A11" s="697" t="s">
        <v>1615</v>
      </c>
      <c r="B11" s="704" t="s">
        <v>1616</v>
      </c>
      <c r="C11" s="696">
        <v>1</v>
      </c>
      <c r="D11" s="700" t="s">
        <v>5</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9" orientation="portrait" horizontalDpi="0" verticalDpi="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DE75D-6393-458E-A00F-8B446EB09BED}">
  <sheetPr codeName="Sheet64"/>
  <dimension ref="A1:F53"/>
  <sheetViews>
    <sheetView view="pageBreakPreview" zoomScale="80" zoomScaleNormal="100" zoomScaleSheetLayoutView="80" workbookViewId="0">
      <selection activeCell="B9" sqref="B9"/>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4.2</v>
      </c>
      <c r="B10" s="753" t="s">
        <v>1607</v>
      </c>
      <c r="C10" s="696"/>
      <c r="D10" s="696"/>
      <c r="E10" s="696"/>
      <c r="F10" s="696"/>
    </row>
    <row r="11" spans="1:6" ht="52.5" customHeight="1" x14ac:dyDescent="0.15">
      <c r="A11" s="754" t="s">
        <v>1612</v>
      </c>
      <c r="B11" s="759" t="s">
        <v>1613</v>
      </c>
      <c r="C11" s="708">
        <f>+[1]BOQ!$E$16</f>
        <v>1</v>
      </c>
      <c r="D11" s="750" t="s">
        <v>5</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9" orientation="portrait" horizontalDpi="0" verticalDpi="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89CC7-1F5E-4ED5-9CDA-D0D853B6D122}">
  <sheetPr codeName="Sheet65"/>
  <dimension ref="A1:F53"/>
  <sheetViews>
    <sheetView view="pageBreakPreview" zoomScale="80" zoomScaleNormal="100" zoomScaleSheetLayoutView="80" workbookViewId="0">
      <selection activeCell="B9" sqref="B9"/>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4.2</v>
      </c>
      <c r="B10" s="753" t="s">
        <v>1607</v>
      </c>
      <c r="C10" s="696"/>
      <c r="D10" s="696"/>
      <c r="E10" s="696"/>
      <c r="F10" s="696"/>
    </row>
    <row r="11" spans="1:6" ht="17" x14ac:dyDescent="0.15">
      <c r="A11" s="697" t="s">
        <v>1610</v>
      </c>
      <c r="B11" s="698" t="s">
        <v>1611</v>
      </c>
      <c r="C11" s="696">
        <v>1</v>
      </c>
      <c r="D11" s="700" t="s">
        <v>5</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DE2E0-AB2F-D14F-95B2-66E7BF528B15}">
  <dimension ref="A1:F52"/>
  <sheetViews>
    <sheetView view="pageBreakPreview" topLeftCell="A2" zoomScale="90" zoomScaleNormal="100" zoomScaleSheetLayoutView="90" workbookViewId="0">
      <selection activeCell="B16" sqref="B16"/>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A8" s="941"/>
      <c r="B8" s="942"/>
      <c r="C8" s="696" t="s">
        <v>100</v>
      </c>
      <c r="D8" s="696" t="s">
        <v>104</v>
      </c>
      <c r="E8" s="696" t="s">
        <v>1530</v>
      </c>
      <c r="F8" s="696" t="s">
        <v>1531</v>
      </c>
    </row>
    <row r="9" spans="1:6" ht="16" x14ac:dyDescent="0.15">
      <c r="A9" s="944">
        <v>7</v>
      </c>
      <c r="B9" s="943" t="s">
        <v>633</v>
      </c>
      <c r="C9" s="696"/>
      <c r="D9" s="696"/>
      <c r="E9" s="696"/>
      <c r="F9" s="696"/>
    </row>
    <row r="10" spans="1:6" ht="34" x14ac:dyDescent="0.15">
      <c r="A10" s="947">
        <v>7.3</v>
      </c>
      <c r="B10" s="946" t="s">
        <v>1703</v>
      </c>
      <c r="C10" s="948">
        <v>4</v>
      </c>
      <c r="D10" s="949" t="s">
        <v>1</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5">
    <mergeCell ref="A47:E47"/>
    <mergeCell ref="A48:E48"/>
    <mergeCell ref="C50:F50"/>
    <mergeCell ref="C51:F51"/>
    <mergeCell ref="C52:F52"/>
    <mergeCell ref="C41:D41"/>
    <mergeCell ref="B42:E42"/>
    <mergeCell ref="A43:F43"/>
    <mergeCell ref="A44:D44"/>
    <mergeCell ref="A45:D45"/>
    <mergeCell ref="A46:E46"/>
    <mergeCell ref="B35:F35"/>
    <mergeCell ref="C36:D36"/>
    <mergeCell ref="C37:D37"/>
    <mergeCell ref="C38:D38"/>
    <mergeCell ref="C39:D39"/>
    <mergeCell ref="C40:D40"/>
    <mergeCell ref="C29:D29"/>
    <mergeCell ref="C30:D30"/>
    <mergeCell ref="C31:D31"/>
    <mergeCell ref="C32:D32"/>
    <mergeCell ref="B33:E33"/>
    <mergeCell ref="A34:F34"/>
    <mergeCell ref="B12:F12"/>
    <mergeCell ref="B24:E24"/>
    <mergeCell ref="A25:F25"/>
    <mergeCell ref="B26:F26"/>
    <mergeCell ref="C27:D27"/>
    <mergeCell ref="C28:D28"/>
    <mergeCell ref="A1:F2"/>
    <mergeCell ref="E3:F3"/>
    <mergeCell ref="A4:F4"/>
    <mergeCell ref="A7:F7"/>
    <mergeCell ref="A8:B8"/>
    <mergeCell ref="A11:F11"/>
  </mergeCells>
  <pageMargins left="0.7" right="0.7" top="0.75" bottom="0.75" header="0.3" footer="0.3"/>
  <pageSetup paperSize="14" scale="79" orientation="portrait" horizontalDpi="0" verticalDpi="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CF002-9F7A-4270-AF32-571237C71244}">
  <sheetPr codeName="Sheet66"/>
  <dimension ref="A1:F53"/>
  <sheetViews>
    <sheetView view="pageBreakPreview" zoomScale="80" zoomScaleNormal="100" zoomScaleSheetLayoutView="80" workbookViewId="0">
      <selection activeCell="B9" sqref="B9"/>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4.2</v>
      </c>
      <c r="B10" s="753" t="s">
        <v>1607</v>
      </c>
      <c r="C10" s="696"/>
      <c r="D10" s="696"/>
      <c r="E10" s="696"/>
      <c r="F10" s="696"/>
    </row>
    <row r="11" spans="1:6" ht="17" x14ac:dyDescent="0.15">
      <c r="A11" s="697" t="s">
        <v>1608</v>
      </c>
      <c r="B11" s="698" t="s">
        <v>1609</v>
      </c>
      <c r="C11" s="696">
        <f>+[1]BOQ!$E$16</f>
        <v>1</v>
      </c>
      <c r="D11" s="700" t="s">
        <v>5</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9" orientation="portrait" horizontalDpi="0" verticalDpi="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3A949-8A18-4CEC-946D-C0A009085A50}">
  <sheetPr codeName="Sheet67"/>
  <dimension ref="A1:F53"/>
  <sheetViews>
    <sheetView view="pageBreakPreview" zoomScale="80" zoomScaleNormal="100" zoomScaleSheetLayoutView="80" workbookViewId="0">
      <selection activeCell="B9" sqref="B9"/>
    </sheetView>
  </sheetViews>
  <sheetFormatPr baseColWidth="10" defaultColWidth="8.83203125" defaultRowHeight="13" x14ac:dyDescent="0.15"/>
  <cols>
    <col min="1" max="1" width="6" customWidth="1"/>
    <col min="2" max="2" width="60.5" bestFit="1" customWidth="1"/>
    <col min="3" max="3" width="11.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4.0999999999999996</v>
      </c>
      <c r="B10" s="753" t="s">
        <v>1603</v>
      </c>
      <c r="C10" s="696"/>
      <c r="D10" s="696"/>
      <c r="E10" s="696"/>
      <c r="F10" s="696"/>
    </row>
    <row r="11" spans="1:6" ht="34" x14ac:dyDescent="0.15">
      <c r="A11" s="697" t="s">
        <v>1606</v>
      </c>
      <c r="B11" s="698" t="s">
        <v>1155</v>
      </c>
      <c r="C11" s="757">
        <v>1761.8590000000002</v>
      </c>
      <c r="D11" s="756" t="s">
        <v>892</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6" orientation="portrait" horizontalDpi="0" verticalDpi="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5BC19-6041-424D-9476-7A5C1843FA04}">
  <sheetPr codeName="Sheet68"/>
  <dimension ref="A1:F53"/>
  <sheetViews>
    <sheetView view="pageBreakPreview" zoomScale="80" zoomScaleNormal="100" zoomScaleSheetLayoutView="80" workbookViewId="0">
      <selection activeCell="A5" sqref="A5"/>
    </sheetView>
  </sheetViews>
  <sheetFormatPr baseColWidth="10" defaultColWidth="8.83203125" defaultRowHeight="13" x14ac:dyDescent="0.15"/>
  <cols>
    <col min="1" max="1" width="6" customWidth="1"/>
    <col min="2" max="2" width="60.5" bestFit="1" customWidth="1"/>
    <col min="3" max="3" width="8.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4.0999999999999996</v>
      </c>
      <c r="B10" s="753" t="s">
        <v>1603</v>
      </c>
      <c r="C10" s="696"/>
      <c r="D10" s="696"/>
      <c r="E10" s="696"/>
      <c r="F10" s="696"/>
    </row>
    <row r="11" spans="1:6" ht="34" x14ac:dyDescent="0.15">
      <c r="A11" s="704" t="s">
        <v>1605</v>
      </c>
      <c r="B11" s="759" t="s">
        <v>1192</v>
      </c>
      <c r="C11" s="757">
        <v>21.972500000000004</v>
      </c>
      <c r="D11" s="756" t="s">
        <v>892</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8" orientation="portrait" horizontalDpi="0" verticalDpi="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7A0D7-34E3-4CE8-A043-9CCE194340A2}">
  <sheetPr codeName="Sheet69"/>
  <dimension ref="A1:F53"/>
  <sheetViews>
    <sheetView view="pageBreakPreview" zoomScale="80" zoomScaleNormal="100" zoomScaleSheetLayoutView="80" workbookViewId="0">
      <selection activeCell="A5" sqref="A5"/>
    </sheetView>
  </sheetViews>
  <sheetFormatPr baseColWidth="10" defaultColWidth="8.83203125" defaultRowHeight="13" x14ac:dyDescent="0.15"/>
  <cols>
    <col min="1" max="1" width="6" customWidth="1"/>
    <col min="2" max="2" width="60.5" bestFit="1" customWidth="1"/>
    <col min="3" max="3" width="10.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4</v>
      </c>
      <c r="B9" s="753" t="s">
        <v>1154</v>
      </c>
      <c r="C9" s="696"/>
      <c r="D9" s="696"/>
      <c r="E9" s="696"/>
      <c r="F9" s="696"/>
    </row>
    <row r="10" spans="1:6" ht="17" x14ac:dyDescent="0.15">
      <c r="A10" s="758">
        <v>4.0999999999999996</v>
      </c>
      <c r="B10" s="753" t="s">
        <v>1603</v>
      </c>
      <c r="C10" s="696"/>
      <c r="D10" s="696"/>
      <c r="E10" s="696"/>
      <c r="F10" s="696"/>
    </row>
    <row r="11" spans="1:6" ht="33.75" customHeight="1" x14ac:dyDescent="0.15">
      <c r="A11" s="754" t="s">
        <v>1604</v>
      </c>
      <c r="B11" s="755" t="s">
        <v>1153</v>
      </c>
      <c r="C11" s="757">
        <v>858.95699999999999</v>
      </c>
      <c r="D11" s="756" t="s">
        <v>892</v>
      </c>
      <c r="E11" s="696"/>
      <c r="F11" s="696"/>
    </row>
    <row r="12" spans="1:6" ht="16" x14ac:dyDescent="0.15">
      <c r="A12" s="831"/>
      <c r="B12" s="831"/>
      <c r="C12" s="831"/>
      <c r="D12" s="831"/>
      <c r="E12" s="831"/>
      <c r="F12" s="831"/>
    </row>
    <row r="13" spans="1:6" ht="17" x14ac:dyDescent="0.15">
      <c r="A13" s="701" t="s">
        <v>1532</v>
      </c>
      <c r="B13" s="838" t="s">
        <v>1424</v>
      </c>
      <c r="C13" s="838"/>
      <c r="D13" s="838"/>
      <c r="E13" s="838"/>
      <c r="F13" s="838"/>
    </row>
    <row r="14" spans="1:6" ht="34" x14ac:dyDescent="0.15">
      <c r="A14" s="696" t="s">
        <v>1422</v>
      </c>
      <c r="B14" s="696" t="s">
        <v>1533</v>
      </c>
      <c r="C14" s="696" t="s">
        <v>100</v>
      </c>
      <c r="D14" s="696" t="s">
        <v>104</v>
      </c>
      <c r="E14" s="696" t="s">
        <v>1534</v>
      </c>
      <c r="F14" s="696" t="s">
        <v>1430</v>
      </c>
    </row>
    <row r="15" spans="1:6" ht="16" x14ac:dyDescent="0.15">
      <c r="A15" s="709">
        <v>1</v>
      </c>
      <c r="B15" s="696"/>
      <c r="C15" s="696"/>
      <c r="D15" s="696"/>
      <c r="E15" s="696"/>
      <c r="F15" s="701"/>
    </row>
    <row r="16" spans="1:6" ht="16" x14ac:dyDescent="0.15">
      <c r="A16" s="709">
        <v>2</v>
      </c>
      <c r="B16" s="696"/>
      <c r="C16" s="696"/>
      <c r="D16" s="696"/>
      <c r="E16" s="696"/>
      <c r="F16" s="696"/>
    </row>
    <row r="17" spans="1:6" ht="16" x14ac:dyDescent="0.15">
      <c r="A17" s="709">
        <v>3</v>
      </c>
      <c r="B17" s="696"/>
      <c r="C17" s="696"/>
      <c r="D17" s="696"/>
      <c r="E17" s="696"/>
      <c r="F17" s="696"/>
    </row>
    <row r="18" spans="1:6" ht="16" x14ac:dyDescent="0.15">
      <c r="A18" s="709">
        <v>4</v>
      </c>
      <c r="B18" s="696"/>
      <c r="C18" s="696"/>
      <c r="D18" s="696"/>
      <c r="E18" s="696"/>
      <c r="F18" s="696"/>
    </row>
    <row r="19" spans="1:6" ht="16" x14ac:dyDescent="0.15">
      <c r="A19" s="709">
        <v>5</v>
      </c>
      <c r="B19" s="696"/>
      <c r="C19" s="696"/>
      <c r="D19" s="696"/>
      <c r="E19" s="696"/>
      <c r="F19" s="696"/>
    </row>
    <row r="20" spans="1:6" ht="16" x14ac:dyDescent="0.15">
      <c r="A20" s="709">
        <v>6</v>
      </c>
      <c r="B20" s="696"/>
      <c r="C20" s="696"/>
      <c r="D20" s="696"/>
      <c r="E20" s="696"/>
      <c r="F20" s="696"/>
    </row>
    <row r="21" spans="1:6" ht="16" x14ac:dyDescent="0.15">
      <c r="A21" s="709">
        <v>7</v>
      </c>
      <c r="B21" s="696"/>
      <c r="C21" s="696"/>
      <c r="D21" s="696"/>
      <c r="E21" s="696"/>
      <c r="F21" s="696"/>
    </row>
    <row r="22" spans="1:6" ht="16" x14ac:dyDescent="0.15">
      <c r="A22" s="709">
        <v>8</v>
      </c>
      <c r="B22" s="696"/>
      <c r="C22" s="696"/>
      <c r="D22" s="696"/>
      <c r="E22" s="696"/>
      <c r="F22" s="696"/>
    </row>
    <row r="23" spans="1:6" ht="16" x14ac:dyDescent="0.15">
      <c r="A23" s="709">
        <v>9</v>
      </c>
      <c r="B23" s="696"/>
      <c r="C23" s="696"/>
      <c r="D23" s="696"/>
      <c r="E23" s="696"/>
      <c r="F23" s="696"/>
    </row>
    <row r="24" spans="1:6" ht="16" x14ac:dyDescent="0.15">
      <c r="A24" s="709">
        <v>10</v>
      </c>
      <c r="B24" s="696"/>
      <c r="C24" s="696"/>
      <c r="D24" s="696"/>
      <c r="E24" s="696"/>
      <c r="F24" s="696"/>
    </row>
    <row r="25" spans="1:6" ht="16" x14ac:dyDescent="0.15">
      <c r="A25" s="701"/>
      <c r="B25" s="829" t="s">
        <v>1535</v>
      </c>
      <c r="C25" s="829"/>
      <c r="D25" s="829"/>
      <c r="E25" s="829"/>
      <c r="F25" s="696"/>
    </row>
    <row r="26" spans="1:6" ht="16" x14ac:dyDescent="0.15">
      <c r="A26" s="831"/>
      <c r="B26" s="831"/>
      <c r="C26" s="831"/>
      <c r="D26" s="831"/>
      <c r="E26" s="831"/>
      <c r="F26" s="831"/>
    </row>
    <row r="27" spans="1:6" ht="17" x14ac:dyDescent="0.15">
      <c r="A27" s="701" t="s">
        <v>1536</v>
      </c>
      <c r="B27" s="838" t="s">
        <v>1017</v>
      </c>
      <c r="C27" s="838"/>
      <c r="D27" s="838"/>
      <c r="E27" s="838"/>
      <c r="F27" s="838"/>
    </row>
    <row r="28" spans="1:6" ht="34" x14ac:dyDescent="0.15">
      <c r="A28" s="696" t="s">
        <v>1422</v>
      </c>
      <c r="B28" s="696" t="s">
        <v>1537</v>
      </c>
      <c r="C28" s="831" t="s">
        <v>1538</v>
      </c>
      <c r="D28" s="831"/>
      <c r="E28" s="696" t="s">
        <v>1539</v>
      </c>
      <c r="F28" s="696" t="s">
        <v>1430</v>
      </c>
    </row>
    <row r="29" spans="1:6" ht="16" x14ac:dyDescent="0.15">
      <c r="A29" s="709">
        <v>1</v>
      </c>
      <c r="B29" s="698"/>
      <c r="C29" s="831"/>
      <c r="D29" s="831"/>
      <c r="E29" s="696"/>
      <c r="F29" s="696"/>
    </row>
    <row r="30" spans="1:6" ht="16" x14ac:dyDescent="0.15">
      <c r="A30" s="709">
        <v>2</v>
      </c>
      <c r="B30" s="696"/>
      <c r="C30" s="831"/>
      <c r="D30" s="831"/>
      <c r="E30" s="696"/>
      <c r="F30" s="696"/>
    </row>
    <row r="31" spans="1:6" ht="16" x14ac:dyDescent="0.15">
      <c r="A31" s="709">
        <v>3</v>
      </c>
      <c r="B31" s="696"/>
      <c r="C31" s="831"/>
      <c r="D31" s="831"/>
      <c r="E31" s="696"/>
      <c r="F31" s="696"/>
    </row>
    <row r="32" spans="1:6" ht="16" x14ac:dyDescent="0.15">
      <c r="A32" s="709">
        <v>4</v>
      </c>
      <c r="B32" s="696"/>
      <c r="C32" s="831"/>
      <c r="D32" s="831"/>
      <c r="E32" s="696"/>
      <c r="F32" s="696"/>
    </row>
    <row r="33" spans="1:6" ht="16" x14ac:dyDescent="0.15">
      <c r="A33" s="709">
        <v>5</v>
      </c>
      <c r="B33" s="696"/>
      <c r="C33" s="831"/>
      <c r="D33" s="831"/>
      <c r="E33" s="696"/>
      <c r="F33" s="696"/>
    </row>
    <row r="34" spans="1:6" ht="16" x14ac:dyDescent="0.15">
      <c r="A34" s="701"/>
      <c r="B34" s="829" t="s">
        <v>1540</v>
      </c>
      <c r="C34" s="829"/>
      <c r="D34" s="829"/>
      <c r="E34" s="829"/>
      <c r="F34" s="696"/>
    </row>
    <row r="35" spans="1:6" ht="16" x14ac:dyDescent="0.15">
      <c r="A35" s="831"/>
      <c r="B35" s="831"/>
      <c r="C35" s="831"/>
      <c r="D35" s="831"/>
      <c r="E35" s="831"/>
      <c r="F35" s="831"/>
    </row>
    <row r="36" spans="1:6" ht="17" x14ac:dyDescent="0.15">
      <c r="A36" s="701" t="s">
        <v>1541</v>
      </c>
      <c r="B36" s="838" t="s">
        <v>1542</v>
      </c>
      <c r="C36" s="838"/>
      <c r="D36" s="838"/>
      <c r="E36" s="838"/>
      <c r="F36" s="838"/>
    </row>
    <row r="37" spans="1:6" ht="34" x14ac:dyDescent="0.15">
      <c r="A37" s="696" t="s">
        <v>1422</v>
      </c>
      <c r="B37" s="696" t="s">
        <v>1543</v>
      </c>
      <c r="C37" s="831" t="s">
        <v>1544</v>
      </c>
      <c r="D37" s="831"/>
      <c r="E37" s="696" t="s">
        <v>1545</v>
      </c>
      <c r="F37" s="696" t="s">
        <v>1430</v>
      </c>
    </row>
    <row r="38" spans="1:6" ht="16" x14ac:dyDescent="0.15">
      <c r="A38" s="709">
        <v>1</v>
      </c>
      <c r="B38" s="696"/>
      <c r="C38" s="831"/>
      <c r="D38" s="831"/>
      <c r="E38" s="696"/>
      <c r="F38" s="696"/>
    </row>
    <row r="39" spans="1:6" ht="16" x14ac:dyDescent="0.15">
      <c r="A39" s="709">
        <v>2</v>
      </c>
      <c r="B39" s="696"/>
      <c r="C39" s="831"/>
      <c r="D39" s="831"/>
      <c r="E39" s="696"/>
      <c r="F39" s="696"/>
    </row>
    <row r="40" spans="1:6" ht="16" x14ac:dyDescent="0.15">
      <c r="A40" s="709">
        <v>3</v>
      </c>
      <c r="B40" s="696"/>
      <c r="C40" s="831"/>
      <c r="D40" s="831"/>
      <c r="E40" s="696"/>
      <c r="F40" s="696"/>
    </row>
    <row r="41" spans="1:6" ht="16" x14ac:dyDescent="0.15">
      <c r="A41" s="709">
        <v>4</v>
      </c>
      <c r="B41" s="696"/>
      <c r="C41" s="831"/>
      <c r="D41" s="831"/>
      <c r="E41" s="696"/>
      <c r="F41" s="696"/>
    </row>
    <row r="42" spans="1:6" ht="16" x14ac:dyDescent="0.15">
      <c r="A42" s="709">
        <v>5</v>
      </c>
      <c r="B42" s="696"/>
      <c r="C42" s="831"/>
      <c r="D42" s="831"/>
      <c r="E42" s="696"/>
      <c r="F42" s="696"/>
    </row>
    <row r="43" spans="1:6" ht="16" x14ac:dyDescent="0.15">
      <c r="A43" s="701"/>
      <c r="B43" s="829" t="s">
        <v>1546</v>
      </c>
      <c r="C43" s="829"/>
      <c r="D43" s="829"/>
      <c r="E43" s="829"/>
      <c r="F43" s="696"/>
    </row>
    <row r="44" spans="1:6" ht="16" x14ac:dyDescent="0.15">
      <c r="A44" s="831"/>
      <c r="B44" s="831"/>
      <c r="C44" s="831"/>
      <c r="D44" s="831"/>
      <c r="E44" s="831"/>
      <c r="F44" s="831"/>
    </row>
    <row r="45" spans="1:6" ht="16" x14ac:dyDescent="0.15">
      <c r="A45" s="832" t="s">
        <v>1547</v>
      </c>
      <c r="B45" s="833"/>
      <c r="C45" s="833"/>
      <c r="D45" s="834"/>
      <c r="E45" s="698"/>
      <c r="F45" s="702"/>
    </row>
    <row r="46" spans="1:6" ht="16" x14ac:dyDescent="0.15">
      <c r="A46" s="835" t="s">
        <v>1548</v>
      </c>
      <c r="B46" s="836"/>
      <c r="C46" s="836"/>
      <c r="D46" s="837"/>
      <c r="E46" s="703"/>
      <c r="F46" s="702"/>
    </row>
    <row r="47" spans="1:6" ht="16" x14ac:dyDescent="0.15">
      <c r="A47" s="829" t="s">
        <v>1549</v>
      </c>
      <c r="B47" s="829"/>
      <c r="C47" s="829"/>
      <c r="D47" s="829"/>
      <c r="E47" s="829"/>
      <c r="F47" s="696"/>
    </row>
    <row r="48" spans="1:6" ht="16" x14ac:dyDescent="0.15">
      <c r="A48" s="829" t="s">
        <v>1550</v>
      </c>
      <c r="B48" s="829"/>
      <c r="C48" s="829"/>
      <c r="D48" s="829"/>
      <c r="E48" s="829"/>
      <c r="F48" s="696"/>
    </row>
    <row r="49" spans="1:6" ht="16" x14ac:dyDescent="0.15">
      <c r="A49" s="829" t="s">
        <v>1551</v>
      </c>
      <c r="B49" s="829"/>
      <c r="C49" s="829"/>
      <c r="D49" s="829"/>
      <c r="E49" s="829"/>
      <c r="F49" s="696"/>
    </row>
    <row r="51" spans="1:6" ht="15" x14ac:dyDescent="0.2">
      <c r="C51" s="830" t="s">
        <v>1552</v>
      </c>
      <c r="D51" s="830"/>
      <c r="E51" s="830"/>
      <c r="F51" s="830"/>
    </row>
    <row r="52" spans="1:6" ht="15" x14ac:dyDescent="0.2">
      <c r="C52" s="830" t="s">
        <v>1553</v>
      </c>
      <c r="D52" s="830"/>
      <c r="E52" s="830"/>
      <c r="F52" s="830"/>
    </row>
    <row r="53" spans="1:6" ht="15" x14ac:dyDescent="0.2">
      <c r="C53" s="830" t="s">
        <v>1554</v>
      </c>
      <c r="D53" s="830"/>
      <c r="E53" s="830"/>
      <c r="F53" s="830"/>
    </row>
  </sheetData>
  <mergeCells count="34">
    <mergeCell ref="C30:D30"/>
    <mergeCell ref="A1:F2"/>
    <mergeCell ref="E3:F3"/>
    <mergeCell ref="A4:F4"/>
    <mergeCell ref="A7:F7"/>
    <mergeCell ref="A12:F12"/>
    <mergeCell ref="B13:F13"/>
    <mergeCell ref="B25:E25"/>
    <mergeCell ref="A26:F26"/>
    <mergeCell ref="B27:F27"/>
    <mergeCell ref="C28:D28"/>
    <mergeCell ref="C29:D29"/>
    <mergeCell ref="C42:D42"/>
    <mergeCell ref="C31:D31"/>
    <mergeCell ref="C32:D32"/>
    <mergeCell ref="C33:D33"/>
    <mergeCell ref="B34:E34"/>
    <mergeCell ref="A35:F35"/>
    <mergeCell ref="B36:F36"/>
    <mergeCell ref="C37:D37"/>
    <mergeCell ref="C38:D38"/>
    <mergeCell ref="C39:D39"/>
    <mergeCell ref="C40:D40"/>
    <mergeCell ref="C41:D41"/>
    <mergeCell ref="A49:E49"/>
    <mergeCell ref="C51:F51"/>
    <mergeCell ref="C52:F52"/>
    <mergeCell ref="C53:F53"/>
    <mergeCell ref="B43:E43"/>
    <mergeCell ref="A44:F44"/>
    <mergeCell ref="A45:D45"/>
    <mergeCell ref="A46:D46"/>
    <mergeCell ref="A47:E47"/>
    <mergeCell ref="A48:E48"/>
  </mergeCells>
  <pageMargins left="0.7" right="0.7" top="0.75" bottom="0.75" header="0.3" footer="0.3"/>
  <pageSetup paperSize="14" scale="77" orientation="portrait" horizontalDpi="0" verticalDpi="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87775-94B1-ED4D-9CCA-DD1A585A6955}">
  <sheetPr codeName="Sheet103"/>
  <dimension ref="A1:F52"/>
  <sheetViews>
    <sheetView view="pageBreakPreview" zoomScale="80" zoomScaleNormal="100" zoomScaleSheetLayoutView="80" workbookViewId="0">
      <selection activeCell="A5" sqref="A5"/>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3</v>
      </c>
      <c r="B9" s="753" t="s">
        <v>411</v>
      </c>
      <c r="C9" s="696"/>
      <c r="D9" s="696"/>
      <c r="E9" s="696"/>
      <c r="F9" s="696"/>
    </row>
    <row r="10" spans="1:6" ht="17" x14ac:dyDescent="0.15">
      <c r="A10" s="697">
        <v>3.8</v>
      </c>
      <c r="B10" s="698" t="s">
        <v>1602</v>
      </c>
      <c r="C10" s="696">
        <v>1</v>
      </c>
      <c r="D10" s="700"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A48:E48"/>
    <mergeCell ref="C50:F50"/>
    <mergeCell ref="C51:F51"/>
    <mergeCell ref="C52:F52"/>
    <mergeCell ref="B42:E42"/>
    <mergeCell ref="A43:F43"/>
    <mergeCell ref="A44:D44"/>
    <mergeCell ref="A45:D45"/>
    <mergeCell ref="A46:E46"/>
    <mergeCell ref="A47:E47"/>
    <mergeCell ref="C41:D41"/>
    <mergeCell ref="C30:D30"/>
    <mergeCell ref="C31:D31"/>
    <mergeCell ref="C32:D32"/>
    <mergeCell ref="B33:E33"/>
    <mergeCell ref="A34:F34"/>
    <mergeCell ref="B35:F35"/>
    <mergeCell ref="C36:D36"/>
    <mergeCell ref="C37:D37"/>
    <mergeCell ref="C38:D38"/>
    <mergeCell ref="C39:D39"/>
    <mergeCell ref="C40:D40"/>
    <mergeCell ref="C29:D29"/>
    <mergeCell ref="A1:F2"/>
    <mergeCell ref="E3:F3"/>
    <mergeCell ref="A4:F4"/>
    <mergeCell ref="A7:F7"/>
    <mergeCell ref="A11:F11"/>
    <mergeCell ref="B12:F12"/>
    <mergeCell ref="B24:E24"/>
    <mergeCell ref="A25:F25"/>
    <mergeCell ref="B26:F26"/>
    <mergeCell ref="C27:D27"/>
    <mergeCell ref="C28:D28"/>
  </mergeCells>
  <pageMargins left="0.7" right="0.7" top="0.75" bottom="0.75" header="0.3" footer="0.3"/>
  <pageSetup paperSize="14" scale="79" orientation="portrait" horizontalDpi="0" verticalDpi="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FFF14-366B-4EA0-BAAD-14B83B99B564}">
  <sheetPr codeName="Sheet70"/>
  <dimension ref="A1:F52"/>
  <sheetViews>
    <sheetView view="pageBreakPreview" zoomScale="80" zoomScaleNormal="100" zoomScaleSheetLayoutView="80" workbookViewId="0">
      <selection activeCell="A47" sqref="A47:E47"/>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3</v>
      </c>
      <c r="B9" s="753" t="s">
        <v>411</v>
      </c>
      <c r="C9" s="696"/>
      <c r="D9" s="696"/>
      <c r="E9" s="696"/>
      <c r="F9" s="696"/>
    </row>
    <row r="10" spans="1:6" ht="17" x14ac:dyDescent="0.15">
      <c r="A10" s="697">
        <v>3.7</v>
      </c>
      <c r="B10" s="698" t="s">
        <v>1134</v>
      </c>
      <c r="C10" s="699">
        <v>2.4387000000000003</v>
      </c>
      <c r="D10" s="700" t="s">
        <v>1558</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A7D1-A30F-470F-B0F2-5F5066358D93}">
  <sheetPr codeName="Sheet71"/>
  <dimension ref="A1:F52"/>
  <sheetViews>
    <sheetView view="pageBreakPreview" zoomScale="80" zoomScaleNormal="100" zoomScaleSheetLayoutView="80" workbookViewId="0">
      <selection activeCell="A37" sqref="A37:A41"/>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3</v>
      </c>
      <c r="B9" s="753" t="s">
        <v>411</v>
      </c>
      <c r="C9" s="696"/>
      <c r="D9" s="696"/>
      <c r="E9" s="696"/>
      <c r="F9" s="696"/>
    </row>
    <row r="10" spans="1:6" ht="17" x14ac:dyDescent="0.15">
      <c r="A10" s="697">
        <v>3.6</v>
      </c>
      <c r="B10" s="698" t="s">
        <v>927</v>
      </c>
      <c r="C10" s="699">
        <v>4.4330000000000007</v>
      </c>
      <c r="D10" s="700" t="s">
        <v>1558</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78514-8699-4523-9183-D8C2A7002D5F}">
  <sheetPr codeName="Sheet72"/>
  <dimension ref="A1:F52"/>
  <sheetViews>
    <sheetView view="pageBreakPreview" zoomScale="80" zoomScaleNormal="100" zoomScaleSheetLayoutView="80" workbookViewId="0">
      <selection activeCell="A37" sqref="A37:A41"/>
    </sheetView>
  </sheetViews>
  <sheetFormatPr baseColWidth="10" defaultColWidth="8.83203125" defaultRowHeight="13" x14ac:dyDescent="0.15"/>
  <cols>
    <col min="1" max="1" width="6" customWidth="1"/>
    <col min="2" max="2" width="60.5" bestFit="1" customWidth="1"/>
    <col min="3" max="3" width="8.3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3</v>
      </c>
      <c r="B9" s="753" t="s">
        <v>411</v>
      </c>
      <c r="C9" s="696"/>
      <c r="D9" s="696"/>
      <c r="E9" s="696"/>
      <c r="F9" s="696"/>
    </row>
    <row r="10" spans="1:6" ht="17" x14ac:dyDescent="0.15">
      <c r="A10" s="697">
        <v>3.5</v>
      </c>
      <c r="B10" s="698" t="s">
        <v>309</v>
      </c>
      <c r="C10" s="699">
        <v>11.411400000000002</v>
      </c>
      <c r="D10" s="700" t="s">
        <v>1558</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9" scale="76" orientation="portrait" horizontalDpi="0"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95B06-57EB-4DDF-8479-3E72821745B0}">
  <sheetPr codeName="Sheet73"/>
  <dimension ref="A1:F52"/>
  <sheetViews>
    <sheetView view="pageBreakPreview" zoomScale="80" zoomScaleNormal="100" zoomScaleSheetLayoutView="80" workbookViewId="0">
      <selection activeCell="B31" sqref="B31"/>
    </sheetView>
  </sheetViews>
  <sheetFormatPr baseColWidth="10" defaultColWidth="8.83203125" defaultRowHeight="13" x14ac:dyDescent="0.15"/>
  <cols>
    <col min="1" max="1" width="6" customWidth="1"/>
    <col min="2" max="2" width="60.5" bestFit="1" customWidth="1"/>
    <col min="3" max="3" width="10"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3</v>
      </c>
      <c r="B9" s="753" t="s">
        <v>411</v>
      </c>
      <c r="C9" s="696"/>
      <c r="D9" s="696"/>
      <c r="E9" s="696"/>
      <c r="F9" s="696"/>
    </row>
    <row r="10" spans="1:6" ht="17" x14ac:dyDescent="0.15">
      <c r="A10" s="697">
        <v>3.4</v>
      </c>
      <c r="B10" s="698" t="s">
        <v>1295</v>
      </c>
      <c r="C10" s="699">
        <v>31.47</v>
      </c>
      <c r="D10" s="700" t="s">
        <v>1558</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7" orientation="portrait" horizontalDpi="0" verticalDpi="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24690-96B4-4766-8E73-189AF2ABE2A6}">
  <sheetPr codeName="Sheet74"/>
  <dimension ref="A1:F52"/>
  <sheetViews>
    <sheetView view="pageBreakPreview" zoomScale="80" zoomScaleNormal="100" zoomScaleSheetLayoutView="80" workbookViewId="0">
      <selection activeCell="A37" sqref="A37:A41"/>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3</v>
      </c>
      <c r="B9" s="753" t="s">
        <v>411</v>
      </c>
      <c r="C9" s="696"/>
      <c r="D9" s="696"/>
      <c r="E9" s="696"/>
      <c r="F9" s="696"/>
    </row>
    <row r="10" spans="1:6" ht="17" x14ac:dyDescent="0.15">
      <c r="A10" s="697">
        <v>3.3</v>
      </c>
      <c r="B10" s="698" t="s">
        <v>1140</v>
      </c>
      <c r="C10" s="699">
        <v>5.56</v>
      </c>
      <c r="D10" s="700" t="s">
        <v>1558</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7B2A-B79B-E14E-8AC5-350BC1911AE8}">
  <dimension ref="A1:F52"/>
  <sheetViews>
    <sheetView view="pageBreakPreview" zoomScale="90" zoomScaleNormal="100" zoomScaleSheetLayoutView="90" workbookViewId="0">
      <selection activeCell="B19" sqref="B19"/>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A8" s="941"/>
      <c r="B8" s="942"/>
      <c r="C8" s="696" t="s">
        <v>100</v>
      </c>
      <c r="D8" s="696" t="s">
        <v>104</v>
      </c>
      <c r="E8" s="696" t="s">
        <v>1530</v>
      </c>
      <c r="F8" s="696" t="s">
        <v>1531</v>
      </c>
    </row>
    <row r="9" spans="1:6" ht="16" x14ac:dyDescent="0.15">
      <c r="A9" s="944">
        <v>7</v>
      </c>
      <c r="B9" s="943" t="s">
        <v>633</v>
      </c>
      <c r="C9" s="696"/>
      <c r="D9" s="696"/>
      <c r="E9" s="696"/>
      <c r="F9" s="696"/>
    </row>
    <row r="10" spans="1:6" ht="17" x14ac:dyDescent="0.15">
      <c r="A10" s="945">
        <v>7.2</v>
      </c>
      <c r="B10" s="946" t="s">
        <v>992</v>
      </c>
      <c r="C10" s="940">
        <v>1</v>
      </c>
      <c r="D10" s="939" t="s">
        <v>352</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5">
    <mergeCell ref="A47:E47"/>
    <mergeCell ref="A48:E48"/>
    <mergeCell ref="C50:F50"/>
    <mergeCell ref="C51:F51"/>
    <mergeCell ref="C52:F52"/>
    <mergeCell ref="C41:D41"/>
    <mergeCell ref="B42:E42"/>
    <mergeCell ref="A43:F43"/>
    <mergeCell ref="A44:D44"/>
    <mergeCell ref="A45:D45"/>
    <mergeCell ref="A46:E46"/>
    <mergeCell ref="B35:F35"/>
    <mergeCell ref="C36:D36"/>
    <mergeCell ref="C37:D37"/>
    <mergeCell ref="C38:D38"/>
    <mergeCell ref="C39:D39"/>
    <mergeCell ref="C40:D40"/>
    <mergeCell ref="C29:D29"/>
    <mergeCell ref="C30:D30"/>
    <mergeCell ref="C31:D31"/>
    <mergeCell ref="C32:D32"/>
    <mergeCell ref="B33:E33"/>
    <mergeCell ref="A34:F34"/>
    <mergeCell ref="B12:F12"/>
    <mergeCell ref="B24:E24"/>
    <mergeCell ref="A25:F25"/>
    <mergeCell ref="B26:F26"/>
    <mergeCell ref="C27:D27"/>
    <mergeCell ref="C28:D28"/>
    <mergeCell ref="A1:F2"/>
    <mergeCell ref="E3:F3"/>
    <mergeCell ref="A4:F4"/>
    <mergeCell ref="A7:F7"/>
    <mergeCell ref="A8:B8"/>
    <mergeCell ref="A11:F11"/>
  </mergeCells>
  <pageMargins left="0.7" right="0.7" top="0.75" bottom="0.75" header="0.3" footer="0.3"/>
  <pageSetup paperSize="14" scale="79" orientation="portrait" horizontalDpi="0" verticalDpi="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802B4-2575-4C9E-A2AC-1A29D5979A08}">
  <sheetPr codeName="Sheet75"/>
  <dimension ref="A1:F52"/>
  <sheetViews>
    <sheetView view="pageBreakPreview" zoomScale="80" zoomScaleNormal="100" zoomScaleSheetLayoutView="80" workbookViewId="0">
      <selection activeCell="A37" sqref="A37:A41"/>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3</v>
      </c>
      <c r="B9" s="753" t="s">
        <v>411</v>
      </c>
      <c r="C9" s="696"/>
      <c r="D9" s="696"/>
      <c r="E9" s="696"/>
      <c r="F9" s="696"/>
    </row>
    <row r="10" spans="1:6" ht="17" x14ac:dyDescent="0.15">
      <c r="A10" s="697">
        <v>3.2</v>
      </c>
      <c r="B10" s="698" t="s">
        <v>923</v>
      </c>
      <c r="C10" s="699">
        <v>4.4000000000000004</v>
      </c>
      <c r="D10" s="700" t="s">
        <v>1558</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CB5B-86DC-45F7-928F-55587113D9B4}">
  <sheetPr codeName="Sheet76"/>
  <dimension ref="A1:F52"/>
  <sheetViews>
    <sheetView view="pageBreakPreview" zoomScale="80" zoomScaleNormal="100" zoomScaleSheetLayoutView="80" workbookViewId="0">
      <selection activeCell="A37" sqref="A37:A41"/>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3</v>
      </c>
      <c r="B9" s="753" t="s">
        <v>411</v>
      </c>
      <c r="C9" s="696"/>
      <c r="D9" s="696"/>
      <c r="E9" s="696"/>
      <c r="F9" s="696"/>
    </row>
    <row r="10" spans="1:6" ht="17" x14ac:dyDescent="0.15">
      <c r="A10" s="697">
        <v>3.1</v>
      </c>
      <c r="B10" s="698" t="s">
        <v>922</v>
      </c>
      <c r="C10" s="699">
        <v>5.7</v>
      </c>
      <c r="D10" s="700" t="s">
        <v>1558</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C170B-56F8-44C2-920D-B009B3DB9964}">
  <sheetPr codeName="Sheet77"/>
  <dimension ref="A1:F52"/>
  <sheetViews>
    <sheetView view="pageBreakPreview" zoomScale="80" zoomScaleNormal="100" zoomScaleSheetLayoutView="80" workbookViewId="0">
      <selection activeCell="A37" sqref="A37:A41"/>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2</v>
      </c>
      <c r="B9" s="753" t="s">
        <v>707</v>
      </c>
      <c r="C9" s="696"/>
      <c r="D9" s="696"/>
      <c r="E9" s="696"/>
      <c r="F9" s="696"/>
    </row>
    <row r="10" spans="1:6" ht="17" x14ac:dyDescent="0.15">
      <c r="A10" s="697">
        <v>2.4</v>
      </c>
      <c r="B10" s="698" t="s">
        <v>1600</v>
      </c>
      <c r="C10" s="696">
        <v>1</v>
      </c>
      <c r="D10" s="700"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96647-8931-4263-8ECD-833512705408}">
  <sheetPr codeName="Sheet78"/>
  <dimension ref="A1:F52"/>
  <sheetViews>
    <sheetView view="pageBreakPreview" zoomScale="70" zoomScaleNormal="100" zoomScaleSheetLayoutView="70" workbookViewId="0">
      <selection activeCell="A37" sqref="A37:A41"/>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2</v>
      </c>
      <c r="B9" s="753" t="s">
        <v>707</v>
      </c>
      <c r="C9" s="696"/>
      <c r="D9" s="696"/>
      <c r="E9" s="696"/>
      <c r="F9" s="696"/>
    </row>
    <row r="10" spans="1:6" ht="24" customHeight="1" x14ac:dyDescent="0.15">
      <c r="A10" s="751">
        <v>2.2999999999999998</v>
      </c>
      <c r="B10" s="698" t="s">
        <v>1490</v>
      </c>
      <c r="C10" s="696">
        <v>1</v>
      </c>
      <c r="D10" s="700"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9"/>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709"/>
      <c r="C37" s="831"/>
      <c r="D37" s="831"/>
      <c r="E37" s="696"/>
      <c r="F37" s="696"/>
    </row>
    <row r="38" spans="1:6" ht="16" x14ac:dyDescent="0.15">
      <c r="A38" s="709">
        <v>2</v>
      </c>
      <c r="B38" s="709"/>
      <c r="C38" s="831"/>
      <c r="D38" s="831"/>
      <c r="E38" s="696"/>
      <c r="F38" s="696"/>
    </row>
    <row r="39" spans="1:6" ht="16" x14ac:dyDescent="0.15">
      <c r="A39" s="709">
        <v>3</v>
      </c>
      <c r="B39" s="709"/>
      <c r="C39" s="831"/>
      <c r="D39" s="831"/>
      <c r="E39" s="696"/>
      <c r="F39" s="696"/>
    </row>
    <row r="40" spans="1:6" ht="16" x14ac:dyDescent="0.15">
      <c r="A40" s="709">
        <v>4</v>
      </c>
      <c r="B40" s="709"/>
      <c r="C40" s="831"/>
      <c r="D40" s="831"/>
      <c r="E40" s="696"/>
      <c r="F40" s="696"/>
    </row>
    <row r="41" spans="1:6" ht="16" x14ac:dyDescent="0.15">
      <c r="A41" s="709">
        <v>5</v>
      </c>
      <c r="B41" s="709"/>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2D292-DCC6-4F88-829E-A1567DFB43AC}">
  <sheetPr codeName="Sheet79"/>
  <dimension ref="A1:F52"/>
  <sheetViews>
    <sheetView view="pageBreakPreview" zoomScale="70" zoomScaleNormal="100" zoomScaleSheetLayoutView="70" workbookViewId="0">
      <selection activeCell="B31" sqref="B31"/>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2</v>
      </c>
      <c r="B9" s="753" t="s">
        <v>707</v>
      </c>
      <c r="C9" s="696"/>
      <c r="D9" s="696"/>
      <c r="E9" s="696"/>
      <c r="F9" s="696"/>
    </row>
    <row r="10" spans="1:6" ht="17" x14ac:dyDescent="0.15">
      <c r="A10" s="697">
        <v>2.2000000000000002</v>
      </c>
      <c r="B10" s="698" t="s">
        <v>1599</v>
      </c>
      <c r="C10" s="696">
        <v>1</v>
      </c>
      <c r="D10" s="700"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1FA78-1373-4CE6-80FF-253332C1449D}">
  <sheetPr codeName="Sheet80"/>
  <dimension ref="A1:F52"/>
  <sheetViews>
    <sheetView view="pageBreakPreview" zoomScale="80" zoomScaleNormal="100" zoomScaleSheetLayoutView="80" workbookViewId="0">
      <selection activeCell="A37" sqref="A37:A41"/>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2</v>
      </c>
      <c r="B9" s="753" t="s">
        <v>707</v>
      </c>
      <c r="C9" s="696"/>
      <c r="D9" s="696"/>
      <c r="E9" s="696"/>
      <c r="F9" s="696"/>
    </row>
    <row r="10" spans="1:6" ht="68" x14ac:dyDescent="0.15">
      <c r="A10" s="697">
        <v>2.1</v>
      </c>
      <c r="B10" s="698" t="s">
        <v>1598</v>
      </c>
      <c r="C10" s="708">
        <v>1</v>
      </c>
      <c r="D10" s="750"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FA54F-48C8-422C-AF8B-DEE475135DBD}">
  <sheetPr codeName="Sheet81"/>
  <dimension ref="A1:F52"/>
  <sheetViews>
    <sheetView view="pageBreakPreview" zoomScale="70" zoomScaleNormal="100" zoomScaleSheetLayoutView="70" workbookViewId="0">
      <selection activeCell="A37" sqref="A37:A41"/>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f>+[1]BOQ!$A$15</f>
        <v>1</v>
      </c>
      <c r="B9" s="753" t="s">
        <v>408</v>
      </c>
      <c r="C9" s="696"/>
      <c r="D9" s="696"/>
      <c r="E9" s="696"/>
      <c r="F9" s="696"/>
    </row>
    <row r="10" spans="1:6" ht="17" x14ac:dyDescent="0.15">
      <c r="A10" s="697">
        <v>1.4</v>
      </c>
      <c r="B10" s="698" t="s">
        <v>1597</v>
      </c>
      <c r="C10" s="696">
        <f>+[1]BOQ!$E$16</f>
        <v>1</v>
      </c>
      <c r="D10" s="700" t="s">
        <v>5</v>
      </c>
      <c r="E10" s="696"/>
      <c r="F10" s="696"/>
    </row>
    <row r="11" spans="1:6" ht="16" x14ac:dyDescent="0.15">
      <c r="A11" s="831" t="s">
        <v>51</v>
      </c>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709"/>
      <c r="C28" s="831"/>
      <c r="D28" s="831"/>
      <c r="E28" s="696"/>
      <c r="F28" s="696"/>
    </row>
    <row r="29" spans="1:6" ht="16" x14ac:dyDescent="0.15">
      <c r="A29" s="709">
        <v>2</v>
      </c>
      <c r="B29" s="709"/>
      <c r="C29" s="831"/>
      <c r="D29" s="831"/>
      <c r="E29" s="696"/>
      <c r="F29" s="696"/>
    </row>
    <row r="30" spans="1:6" ht="16" x14ac:dyDescent="0.15">
      <c r="A30" s="709">
        <v>3</v>
      </c>
      <c r="B30" s="709"/>
      <c r="C30" s="831"/>
      <c r="D30" s="831"/>
      <c r="E30" s="696"/>
      <c r="F30" s="696"/>
    </row>
    <row r="31" spans="1:6" ht="16" x14ac:dyDescent="0.15">
      <c r="A31" s="709">
        <v>4</v>
      </c>
      <c r="B31" s="709"/>
      <c r="C31" s="831"/>
      <c r="D31" s="831"/>
      <c r="E31" s="696"/>
      <c r="F31" s="696"/>
    </row>
    <row r="32" spans="1:6" ht="16" x14ac:dyDescent="0.15">
      <c r="A32" s="709">
        <v>5</v>
      </c>
      <c r="B32" s="709"/>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709"/>
      <c r="C37" s="831"/>
      <c r="D37" s="831"/>
      <c r="E37" s="696"/>
      <c r="F37" s="696"/>
    </row>
    <row r="38" spans="1:6" ht="16" x14ac:dyDescent="0.15">
      <c r="A38" s="709">
        <v>2</v>
      </c>
      <c r="B38" s="709"/>
      <c r="C38" s="831"/>
      <c r="D38" s="831"/>
      <c r="E38" s="696"/>
      <c r="F38" s="696"/>
    </row>
    <row r="39" spans="1:6" ht="16" x14ac:dyDescent="0.15">
      <c r="A39" s="709">
        <v>3</v>
      </c>
      <c r="B39" s="709"/>
      <c r="C39" s="831"/>
      <c r="D39" s="831"/>
      <c r="E39" s="696"/>
      <c r="F39" s="696"/>
    </row>
    <row r="40" spans="1:6" ht="16" x14ac:dyDescent="0.15">
      <c r="A40" s="709">
        <v>4</v>
      </c>
      <c r="B40" s="709"/>
      <c r="C40" s="831"/>
      <c r="D40" s="831"/>
      <c r="E40" s="696"/>
      <c r="F40" s="696"/>
    </row>
    <row r="41" spans="1:6" ht="16" x14ac:dyDescent="0.15">
      <c r="A41" s="709">
        <v>5</v>
      </c>
      <c r="B41" s="709"/>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C2C2A-A246-4ABB-B43E-BA8844FF3B69}">
  <sheetPr codeName="Sheet82"/>
  <dimension ref="A1:F52"/>
  <sheetViews>
    <sheetView view="pageBreakPreview" topLeftCell="A2" zoomScale="70" zoomScaleNormal="100" zoomScaleSheetLayoutView="70" workbookViewId="0">
      <selection activeCell="A37" sqref="A37:A41"/>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f>+[1]BOQ!$A$15</f>
        <v>1</v>
      </c>
      <c r="B9" s="753" t="s">
        <v>408</v>
      </c>
      <c r="C9" s="696"/>
      <c r="D9" s="696"/>
      <c r="E9" s="696"/>
      <c r="F9" s="696"/>
    </row>
    <row r="10" spans="1:6" ht="17" x14ac:dyDescent="0.15">
      <c r="A10" s="697">
        <v>1.3</v>
      </c>
      <c r="B10" s="698" t="s">
        <v>1596</v>
      </c>
      <c r="C10" s="696">
        <f>+[1]BOQ!$E$16</f>
        <v>1</v>
      </c>
      <c r="D10" s="700" t="s">
        <v>5</v>
      </c>
      <c r="E10" s="696"/>
      <c r="F10" s="696"/>
    </row>
    <row r="11" spans="1:6" ht="16" x14ac:dyDescent="0.15">
      <c r="A11" s="831" t="s">
        <v>51</v>
      </c>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709"/>
      <c r="C28" s="831"/>
      <c r="D28" s="831"/>
      <c r="E28" s="696"/>
      <c r="F28" s="696"/>
    </row>
    <row r="29" spans="1:6" ht="16" x14ac:dyDescent="0.15">
      <c r="A29" s="709">
        <v>2</v>
      </c>
      <c r="B29" s="709"/>
      <c r="C29" s="831"/>
      <c r="D29" s="831"/>
      <c r="E29" s="696"/>
      <c r="F29" s="696"/>
    </row>
    <row r="30" spans="1:6" ht="16" x14ac:dyDescent="0.15">
      <c r="A30" s="709">
        <v>3</v>
      </c>
      <c r="B30" s="709"/>
      <c r="C30" s="831"/>
      <c r="D30" s="831"/>
      <c r="E30" s="696"/>
      <c r="F30" s="696"/>
    </row>
    <row r="31" spans="1:6" ht="16" x14ac:dyDescent="0.15">
      <c r="A31" s="709">
        <v>4</v>
      </c>
      <c r="B31" s="709"/>
      <c r="C31" s="831"/>
      <c r="D31" s="831"/>
      <c r="E31" s="696"/>
      <c r="F31" s="696"/>
    </row>
    <row r="32" spans="1:6" ht="16" x14ac:dyDescent="0.15">
      <c r="A32" s="709">
        <v>5</v>
      </c>
      <c r="B32" s="709"/>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709"/>
      <c r="C37" s="831"/>
      <c r="D37" s="831"/>
      <c r="E37" s="696"/>
      <c r="F37" s="696"/>
    </row>
    <row r="38" spans="1:6" ht="16" x14ac:dyDescent="0.15">
      <c r="A38" s="709">
        <v>2</v>
      </c>
      <c r="B38" s="709"/>
      <c r="C38" s="831"/>
      <c r="D38" s="831"/>
      <c r="E38" s="696"/>
      <c r="F38" s="696"/>
    </row>
    <row r="39" spans="1:6" ht="16" x14ac:dyDescent="0.15">
      <c r="A39" s="709">
        <v>3</v>
      </c>
      <c r="B39" s="709"/>
      <c r="C39" s="831"/>
      <c r="D39" s="831"/>
      <c r="E39" s="696"/>
      <c r="F39" s="696"/>
    </row>
    <row r="40" spans="1:6" ht="16" x14ac:dyDescent="0.15">
      <c r="A40" s="709">
        <v>4</v>
      </c>
      <c r="B40" s="709"/>
      <c r="C40" s="831"/>
      <c r="D40" s="831"/>
      <c r="E40" s="696"/>
      <c r="F40" s="696"/>
    </row>
    <row r="41" spans="1:6" ht="16" x14ac:dyDescent="0.15">
      <c r="A41" s="709">
        <v>5</v>
      </c>
      <c r="B41" s="709"/>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16933-92EA-491F-9F20-F36EB4396ED1}">
  <sheetPr codeName="Sheet83"/>
  <dimension ref="A1:F52"/>
  <sheetViews>
    <sheetView view="pageBreakPreview" zoomScale="70" zoomScaleNormal="100" zoomScaleSheetLayoutView="70" workbookViewId="0">
      <selection activeCell="A37" sqref="A37:A41"/>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f>+[1]BOQ!$A$15</f>
        <v>1</v>
      </c>
      <c r="B9" s="753" t="s">
        <v>408</v>
      </c>
      <c r="C9" s="696"/>
      <c r="D9" s="696"/>
      <c r="E9" s="696"/>
      <c r="F9" s="696"/>
    </row>
    <row r="10" spans="1:6" ht="17" x14ac:dyDescent="0.15">
      <c r="A10" s="697">
        <v>1.2000000000000002</v>
      </c>
      <c r="B10" s="698" t="s">
        <v>901</v>
      </c>
      <c r="C10" s="696">
        <f>+[1]BOQ!$E$16</f>
        <v>1</v>
      </c>
      <c r="D10" s="700"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C29:D29"/>
    <mergeCell ref="A1:F2"/>
    <mergeCell ref="E3:F3"/>
    <mergeCell ref="A4:F4"/>
    <mergeCell ref="A7:F7"/>
    <mergeCell ref="A11:F11"/>
    <mergeCell ref="B12:F12"/>
    <mergeCell ref="B24:E24"/>
    <mergeCell ref="A25:F25"/>
    <mergeCell ref="B26:F26"/>
    <mergeCell ref="C27:D27"/>
    <mergeCell ref="C28:D2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A01D3-032B-4A3B-8264-26008164C807}">
  <sheetPr codeName="Sheet84"/>
  <dimension ref="A1:F52"/>
  <sheetViews>
    <sheetView view="pageBreakPreview" zoomScale="70" zoomScaleNormal="100" zoomScaleSheetLayoutView="70" workbookViewId="0">
      <selection activeCell="A37" sqref="A37:A41"/>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C8" s="696" t="s">
        <v>100</v>
      </c>
      <c r="D8" s="696" t="s">
        <v>104</v>
      </c>
      <c r="E8" s="696" t="s">
        <v>1530</v>
      </c>
      <c r="F8" s="696" t="s">
        <v>1531</v>
      </c>
    </row>
    <row r="9" spans="1:6" ht="17" x14ac:dyDescent="0.15">
      <c r="A9" s="752">
        <v>1</v>
      </c>
      <c r="B9" s="753" t="s">
        <v>408</v>
      </c>
      <c r="C9" s="696"/>
      <c r="D9" s="696"/>
      <c r="E9" s="696"/>
      <c r="F9" s="696"/>
    </row>
    <row r="10" spans="1:6" ht="17" x14ac:dyDescent="0.15">
      <c r="A10" s="697">
        <v>1.1000000000000001</v>
      </c>
      <c r="B10" s="698" t="s">
        <v>388</v>
      </c>
      <c r="C10" s="696">
        <v>1</v>
      </c>
      <c r="D10" s="700" t="s">
        <v>5</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4">
    <mergeCell ref="A48:E48"/>
    <mergeCell ref="C50:F50"/>
    <mergeCell ref="C51:F51"/>
    <mergeCell ref="C52:F52"/>
    <mergeCell ref="B42:E42"/>
    <mergeCell ref="A43:F43"/>
    <mergeCell ref="A44:D44"/>
    <mergeCell ref="A45:D45"/>
    <mergeCell ref="A46:E46"/>
    <mergeCell ref="A47:E47"/>
    <mergeCell ref="C41:D41"/>
    <mergeCell ref="C30:D30"/>
    <mergeCell ref="C31:D31"/>
    <mergeCell ref="C32:D32"/>
    <mergeCell ref="B33:E33"/>
    <mergeCell ref="A34:F34"/>
    <mergeCell ref="B35:F35"/>
    <mergeCell ref="C36:D36"/>
    <mergeCell ref="C37:D37"/>
    <mergeCell ref="C38:D38"/>
    <mergeCell ref="C39:D39"/>
    <mergeCell ref="C40:D40"/>
    <mergeCell ref="C29:D29"/>
    <mergeCell ref="A1:F2"/>
    <mergeCell ref="E3:F3"/>
    <mergeCell ref="A4:F4"/>
    <mergeCell ref="A7:F7"/>
    <mergeCell ref="A11:F11"/>
    <mergeCell ref="B12:F12"/>
    <mergeCell ref="B24:E24"/>
    <mergeCell ref="A25:F25"/>
    <mergeCell ref="B26:F26"/>
    <mergeCell ref="C27:D27"/>
    <mergeCell ref="C28:D28"/>
  </mergeCells>
  <pageMargins left="0.7" right="0.7" top="0.75" bottom="0.75" header="0.3" footer="0.3"/>
  <pageSetup paperSize="14" scale="7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E7F9E-D8DF-4FEF-B0CF-09CAF6C7D2D6}">
  <sheetPr codeName="Sheet5"/>
  <dimension ref="A1:F52"/>
  <sheetViews>
    <sheetView view="pageBreakPreview" zoomScale="90" zoomScaleNormal="100" zoomScaleSheetLayoutView="90" workbookViewId="0">
      <selection activeCell="B22" sqref="B22"/>
    </sheetView>
  </sheetViews>
  <sheetFormatPr baseColWidth="10" defaultColWidth="8.83203125" defaultRowHeight="13" x14ac:dyDescent="0.15"/>
  <cols>
    <col min="1" max="1" width="6" customWidth="1"/>
    <col min="2" max="2" width="60.5" bestFit="1" customWidth="1"/>
    <col min="3" max="3" width="6.83203125" customWidth="1"/>
    <col min="4" max="4" width="7.1640625" customWidth="1"/>
    <col min="5" max="5" width="12.6640625" customWidth="1"/>
    <col min="6" max="6" width="13.33203125" customWidth="1"/>
  </cols>
  <sheetData>
    <row r="1" spans="1:6" x14ac:dyDescent="0.15">
      <c r="A1" s="839" t="s">
        <v>1527</v>
      </c>
      <c r="B1" s="839"/>
      <c r="C1" s="839"/>
      <c r="D1" s="839"/>
      <c r="E1" s="839"/>
      <c r="F1" s="839"/>
    </row>
    <row r="2" spans="1:6" x14ac:dyDescent="0.15">
      <c r="A2" s="839"/>
      <c r="B2" s="839"/>
      <c r="C2" s="839"/>
      <c r="D2" s="839"/>
      <c r="E2" s="839"/>
      <c r="F2" s="839"/>
    </row>
    <row r="3" spans="1:6" ht="15" x14ac:dyDescent="0.2">
      <c r="E3" s="830" t="s">
        <v>1528</v>
      </c>
      <c r="F3" s="830"/>
    </row>
    <row r="4" spans="1:6" ht="12.75" customHeight="1" x14ac:dyDescent="0.15">
      <c r="A4" s="840" t="s">
        <v>1555</v>
      </c>
      <c r="B4" s="840"/>
      <c r="C4" s="840"/>
      <c r="D4" s="840"/>
      <c r="E4" s="840"/>
      <c r="F4" s="840"/>
    </row>
    <row r="5" spans="1:6" x14ac:dyDescent="0.15">
      <c r="A5" s="61" t="s">
        <v>1601</v>
      </c>
    </row>
    <row r="7" spans="1:6" ht="16" x14ac:dyDescent="0.15">
      <c r="A7" s="841" t="s">
        <v>1529</v>
      </c>
      <c r="B7" s="842"/>
      <c r="C7" s="842"/>
      <c r="D7" s="842"/>
      <c r="E7" s="842"/>
      <c r="F7" s="843"/>
    </row>
    <row r="8" spans="1:6" ht="17" x14ac:dyDescent="0.15">
      <c r="A8" s="941"/>
      <c r="B8" s="942"/>
      <c r="C8" s="696" t="s">
        <v>100</v>
      </c>
      <c r="D8" s="696" t="s">
        <v>104</v>
      </c>
      <c r="E8" s="696" t="s">
        <v>1530</v>
      </c>
      <c r="F8" s="696" t="s">
        <v>1531</v>
      </c>
    </row>
    <row r="9" spans="1:6" ht="16" x14ac:dyDescent="0.15">
      <c r="A9" s="944">
        <v>7</v>
      </c>
      <c r="B9" s="943" t="s">
        <v>633</v>
      </c>
      <c r="C9" s="696"/>
      <c r="D9" s="696"/>
      <c r="E9" s="696"/>
      <c r="F9" s="696"/>
    </row>
    <row r="10" spans="1:6" ht="17" x14ac:dyDescent="0.15">
      <c r="A10" s="945">
        <v>7.1</v>
      </c>
      <c r="B10" s="946" t="s">
        <v>1702</v>
      </c>
      <c r="C10" s="940">
        <v>4</v>
      </c>
      <c r="D10" s="939" t="s">
        <v>1</v>
      </c>
      <c r="E10" s="696"/>
      <c r="F10" s="696"/>
    </row>
    <row r="11" spans="1:6" ht="16" x14ac:dyDescent="0.15">
      <c r="A11" s="831"/>
      <c r="B11" s="831"/>
      <c r="C11" s="831"/>
      <c r="D11" s="831"/>
      <c r="E11" s="831"/>
      <c r="F11" s="831"/>
    </row>
    <row r="12" spans="1:6" ht="17" x14ac:dyDescent="0.15">
      <c r="A12" s="701" t="s">
        <v>1532</v>
      </c>
      <c r="B12" s="838" t="s">
        <v>1424</v>
      </c>
      <c r="C12" s="838"/>
      <c r="D12" s="838"/>
      <c r="E12" s="838"/>
      <c r="F12" s="838"/>
    </row>
    <row r="13" spans="1:6" ht="34" x14ac:dyDescent="0.15">
      <c r="A13" s="696" t="s">
        <v>1422</v>
      </c>
      <c r="B13" s="696" t="s">
        <v>1533</v>
      </c>
      <c r="C13" s="696" t="s">
        <v>100</v>
      </c>
      <c r="D13" s="696" t="s">
        <v>104</v>
      </c>
      <c r="E13" s="696" t="s">
        <v>1534</v>
      </c>
      <c r="F13" s="696" t="s">
        <v>1430</v>
      </c>
    </row>
    <row r="14" spans="1:6" ht="16" x14ac:dyDescent="0.15">
      <c r="A14" s="709">
        <v>1</v>
      </c>
      <c r="B14" s="696"/>
      <c r="C14" s="696"/>
      <c r="D14" s="696"/>
      <c r="E14" s="696"/>
      <c r="F14" s="701"/>
    </row>
    <row r="15" spans="1:6" ht="16" x14ac:dyDescent="0.15">
      <c r="A15" s="709">
        <v>2</v>
      </c>
      <c r="B15" s="696"/>
      <c r="C15" s="696"/>
      <c r="D15" s="696"/>
      <c r="E15" s="696"/>
      <c r="F15" s="696"/>
    </row>
    <row r="16" spans="1:6" ht="16" x14ac:dyDescent="0.15">
      <c r="A16" s="709">
        <v>3</v>
      </c>
      <c r="B16" s="696"/>
      <c r="C16" s="696"/>
      <c r="D16" s="696"/>
      <c r="E16" s="696"/>
      <c r="F16" s="696"/>
    </row>
    <row r="17" spans="1:6" ht="16" x14ac:dyDescent="0.15">
      <c r="A17" s="709">
        <v>4</v>
      </c>
      <c r="B17" s="696"/>
      <c r="C17" s="696"/>
      <c r="D17" s="696"/>
      <c r="E17" s="696"/>
      <c r="F17" s="696"/>
    </row>
    <row r="18" spans="1:6" ht="16" x14ac:dyDescent="0.15">
      <c r="A18" s="709">
        <v>5</v>
      </c>
      <c r="B18" s="696"/>
      <c r="C18" s="696"/>
      <c r="D18" s="696"/>
      <c r="E18" s="696"/>
      <c r="F18" s="696"/>
    </row>
    <row r="19" spans="1:6" ht="16" x14ac:dyDescent="0.15">
      <c r="A19" s="709">
        <v>6</v>
      </c>
      <c r="B19" s="696"/>
      <c r="C19" s="696"/>
      <c r="D19" s="696"/>
      <c r="E19" s="696"/>
      <c r="F19" s="696"/>
    </row>
    <row r="20" spans="1:6" ht="16" x14ac:dyDescent="0.15">
      <c r="A20" s="709">
        <v>7</v>
      </c>
      <c r="B20" s="696"/>
      <c r="C20" s="696"/>
      <c r="D20" s="696"/>
      <c r="E20" s="696"/>
      <c r="F20" s="696"/>
    </row>
    <row r="21" spans="1:6" ht="16" x14ac:dyDescent="0.15">
      <c r="A21" s="709">
        <v>8</v>
      </c>
      <c r="B21" s="696"/>
      <c r="C21" s="696"/>
      <c r="D21" s="696"/>
      <c r="E21" s="696"/>
      <c r="F21" s="696"/>
    </row>
    <row r="22" spans="1:6" ht="16" x14ac:dyDescent="0.15">
      <c r="A22" s="709">
        <v>9</v>
      </c>
      <c r="B22" s="696"/>
      <c r="C22" s="696"/>
      <c r="D22" s="696"/>
      <c r="E22" s="696"/>
      <c r="F22" s="696"/>
    </row>
    <row r="23" spans="1:6" ht="16" x14ac:dyDescent="0.15">
      <c r="A23" s="709">
        <v>10</v>
      </c>
      <c r="B23" s="696"/>
      <c r="C23" s="696"/>
      <c r="D23" s="696"/>
      <c r="E23" s="696"/>
      <c r="F23" s="696"/>
    </row>
    <row r="24" spans="1:6" ht="16" x14ac:dyDescent="0.15">
      <c r="A24" s="701"/>
      <c r="B24" s="829" t="s">
        <v>1535</v>
      </c>
      <c r="C24" s="829"/>
      <c r="D24" s="829"/>
      <c r="E24" s="829"/>
      <c r="F24" s="696"/>
    </row>
    <row r="25" spans="1:6" ht="16" x14ac:dyDescent="0.15">
      <c r="A25" s="831"/>
      <c r="B25" s="831"/>
      <c r="C25" s="831"/>
      <c r="D25" s="831"/>
      <c r="E25" s="831"/>
      <c r="F25" s="831"/>
    </row>
    <row r="26" spans="1:6" ht="17" x14ac:dyDescent="0.15">
      <c r="A26" s="701" t="s">
        <v>1536</v>
      </c>
      <c r="B26" s="838" t="s">
        <v>1017</v>
      </c>
      <c r="C26" s="838"/>
      <c r="D26" s="838"/>
      <c r="E26" s="838"/>
      <c r="F26" s="838"/>
    </row>
    <row r="27" spans="1:6" ht="34" x14ac:dyDescent="0.15">
      <c r="A27" s="696" t="s">
        <v>1422</v>
      </c>
      <c r="B27" s="696" t="s">
        <v>1537</v>
      </c>
      <c r="C27" s="831" t="s">
        <v>1538</v>
      </c>
      <c r="D27" s="831"/>
      <c r="E27" s="696" t="s">
        <v>1539</v>
      </c>
      <c r="F27" s="696" t="s">
        <v>1430</v>
      </c>
    </row>
    <row r="28" spans="1:6" ht="16" x14ac:dyDescent="0.15">
      <c r="A28" s="709">
        <v>1</v>
      </c>
      <c r="B28" s="698"/>
      <c r="C28" s="831"/>
      <c r="D28" s="831"/>
      <c r="E28" s="696"/>
      <c r="F28" s="696"/>
    </row>
    <row r="29" spans="1:6" ht="16" x14ac:dyDescent="0.15">
      <c r="A29" s="709">
        <v>2</v>
      </c>
      <c r="B29" s="696"/>
      <c r="C29" s="831"/>
      <c r="D29" s="831"/>
      <c r="E29" s="696"/>
      <c r="F29" s="696"/>
    </row>
    <row r="30" spans="1:6" ht="16" x14ac:dyDescent="0.15">
      <c r="A30" s="709">
        <v>3</v>
      </c>
      <c r="B30" s="696"/>
      <c r="C30" s="831"/>
      <c r="D30" s="831"/>
      <c r="E30" s="696"/>
      <c r="F30" s="696"/>
    </row>
    <row r="31" spans="1:6" ht="16" x14ac:dyDescent="0.15">
      <c r="A31" s="709">
        <v>4</v>
      </c>
      <c r="B31" s="696"/>
      <c r="C31" s="831"/>
      <c r="D31" s="831"/>
      <c r="E31" s="696"/>
      <c r="F31" s="696"/>
    </row>
    <row r="32" spans="1:6" ht="16" x14ac:dyDescent="0.15">
      <c r="A32" s="709">
        <v>5</v>
      </c>
      <c r="B32" s="696"/>
      <c r="C32" s="831"/>
      <c r="D32" s="831"/>
      <c r="E32" s="696"/>
      <c r="F32" s="696"/>
    </row>
    <row r="33" spans="1:6" ht="16" x14ac:dyDescent="0.15">
      <c r="A33" s="701"/>
      <c r="B33" s="829" t="s">
        <v>1540</v>
      </c>
      <c r="C33" s="829"/>
      <c r="D33" s="829"/>
      <c r="E33" s="829"/>
      <c r="F33" s="696"/>
    </row>
    <row r="34" spans="1:6" ht="16" x14ac:dyDescent="0.15">
      <c r="A34" s="831"/>
      <c r="B34" s="831"/>
      <c r="C34" s="831"/>
      <c r="D34" s="831"/>
      <c r="E34" s="831"/>
      <c r="F34" s="831"/>
    </row>
    <row r="35" spans="1:6" ht="17" x14ac:dyDescent="0.15">
      <c r="A35" s="701" t="s">
        <v>1541</v>
      </c>
      <c r="B35" s="838" t="s">
        <v>1542</v>
      </c>
      <c r="C35" s="838"/>
      <c r="D35" s="838"/>
      <c r="E35" s="838"/>
      <c r="F35" s="838"/>
    </row>
    <row r="36" spans="1:6" ht="34" x14ac:dyDescent="0.15">
      <c r="A36" s="696" t="s">
        <v>1422</v>
      </c>
      <c r="B36" s="696" t="s">
        <v>1543</v>
      </c>
      <c r="C36" s="831" t="s">
        <v>1544</v>
      </c>
      <c r="D36" s="831"/>
      <c r="E36" s="696" t="s">
        <v>1545</v>
      </c>
      <c r="F36" s="696" t="s">
        <v>1430</v>
      </c>
    </row>
    <row r="37" spans="1:6" ht="16" x14ac:dyDescent="0.15">
      <c r="A37" s="709">
        <v>1</v>
      </c>
      <c r="B37" s="696"/>
      <c r="C37" s="831"/>
      <c r="D37" s="831"/>
      <c r="E37" s="696"/>
      <c r="F37" s="696"/>
    </row>
    <row r="38" spans="1:6" ht="16" x14ac:dyDescent="0.15">
      <c r="A38" s="709">
        <v>2</v>
      </c>
      <c r="B38" s="696"/>
      <c r="C38" s="831"/>
      <c r="D38" s="831"/>
      <c r="E38" s="696"/>
      <c r="F38" s="696"/>
    </row>
    <row r="39" spans="1:6" ht="16" x14ac:dyDescent="0.15">
      <c r="A39" s="709">
        <v>3</v>
      </c>
      <c r="B39" s="696"/>
      <c r="C39" s="831"/>
      <c r="D39" s="831"/>
      <c r="E39" s="696"/>
      <c r="F39" s="696"/>
    </row>
    <row r="40" spans="1:6" ht="16" x14ac:dyDescent="0.15">
      <c r="A40" s="709">
        <v>4</v>
      </c>
      <c r="B40" s="696"/>
      <c r="C40" s="831"/>
      <c r="D40" s="831"/>
      <c r="E40" s="696"/>
      <c r="F40" s="696"/>
    </row>
    <row r="41" spans="1:6" ht="16" x14ac:dyDescent="0.15">
      <c r="A41" s="709">
        <v>5</v>
      </c>
      <c r="B41" s="696"/>
      <c r="C41" s="831"/>
      <c r="D41" s="831"/>
      <c r="E41" s="696"/>
      <c r="F41" s="696"/>
    </row>
    <row r="42" spans="1:6" ht="16" x14ac:dyDescent="0.15">
      <c r="A42" s="701"/>
      <c r="B42" s="829" t="s">
        <v>1546</v>
      </c>
      <c r="C42" s="829"/>
      <c r="D42" s="829"/>
      <c r="E42" s="829"/>
      <c r="F42" s="696"/>
    </row>
    <row r="43" spans="1:6" ht="16" x14ac:dyDescent="0.15">
      <c r="A43" s="831"/>
      <c r="B43" s="831"/>
      <c r="C43" s="831"/>
      <c r="D43" s="831"/>
      <c r="E43" s="831"/>
      <c r="F43" s="831"/>
    </row>
    <row r="44" spans="1:6" ht="16" x14ac:dyDescent="0.15">
      <c r="A44" s="832" t="s">
        <v>1547</v>
      </c>
      <c r="B44" s="833"/>
      <c r="C44" s="833"/>
      <c r="D44" s="834"/>
      <c r="E44" s="698"/>
      <c r="F44" s="702"/>
    </row>
    <row r="45" spans="1:6" ht="16" x14ac:dyDescent="0.15">
      <c r="A45" s="835" t="s">
        <v>1548</v>
      </c>
      <c r="B45" s="836"/>
      <c r="C45" s="836"/>
      <c r="D45" s="837"/>
      <c r="E45" s="703"/>
      <c r="F45" s="702"/>
    </row>
    <row r="46" spans="1:6" ht="16" x14ac:dyDescent="0.15">
      <c r="A46" s="829" t="s">
        <v>1549</v>
      </c>
      <c r="B46" s="829"/>
      <c r="C46" s="829"/>
      <c r="D46" s="829"/>
      <c r="E46" s="829"/>
      <c r="F46" s="696"/>
    </row>
    <row r="47" spans="1:6" ht="16" x14ac:dyDescent="0.15">
      <c r="A47" s="829" t="s">
        <v>1550</v>
      </c>
      <c r="B47" s="829"/>
      <c r="C47" s="829"/>
      <c r="D47" s="829"/>
      <c r="E47" s="829"/>
      <c r="F47" s="696"/>
    </row>
    <row r="48" spans="1:6" ht="16" x14ac:dyDescent="0.15">
      <c r="A48" s="829" t="s">
        <v>1551</v>
      </c>
      <c r="B48" s="829"/>
      <c r="C48" s="829"/>
      <c r="D48" s="829"/>
      <c r="E48" s="829"/>
      <c r="F48" s="696"/>
    </row>
    <row r="50" spans="3:6" ht="15" x14ac:dyDescent="0.2">
      <c r="C50" s="830" t="s">
        <v>1552</v>
      </c>
      <c r="D50" s="830"/>
      <c r="E50" s="830"/>
      <c r="F50" s="830"/>
    </row>
    <row r="51" spans="3:6" ht="15" x14ac:dyDescent="0.2">
      <c r="C51" s="830" t="s">
        <v>1553</v>
      </c>
      <c r="D51" s="830"/>
      <c r="E51" s="830"/>
      <c r="F51" s="830"/>
    </row>
    <row r="52" spans="3:6" ht="15" x14ac:dyDescent="0.2">
      <c r="C52" s="830" t="s">
        <v>1554</v>
      </c>
      <c r="D52" s="830"/>
      <c r="E52" s="830"/>
      <c r="F52" s="830"/>
    </row>
  </sheetData>
  <mergeCells count="35">
    <mergeCell ref="C29:D29"/>
    <mergeCell ref="A1:F2"/>
    <mergeCell ref="E3:F3"/>
    <mergeCell ref="A4:F4"/>
    <mergeCell ref="A7:F7"/>
    <mergeCell ref="A11:F11"/>
    <mergeCell ref="B12:F12"/>
    <mergeCell ref="B24:E24"/>
    <mergeCell ref="A25:F25"/>
    <mergeCell ref="B26:F26"/>
    <mergeCell ref="C27:D27"/>
    <mergeCell ref="C28:D28"/>
    <mergeCell ref="A8:B8"/>
    <mergeCell ref="C41:D41"/>
    <mergeCell ref="C30:D30"/>
    <mergeCell ref="C31:D31"/>
    <mergeCell ref="C32:D32"/>
    <mergeCell ref="B33:E33"/>
    <mergeCell ref="A34:F34"/>
    <mergeCell ref="B35:F35"/>
    <mergeCell ref="C36:D36"/>
    <mergeCell ref="C37:D37"/>
    <mergeCell ref="C38:D38"/>
    <mergeCell ref="C39:D39"/>
    <mergeCell ref="C40:D40"/>
    <mergeCell ref="A48:E48"/>
    <mergeCell ref="C50:F50"/>
    <mergeCell ref="C51:F51"/>
    <mergeCell ref="C52:F52"/>
    <mergeCell ref="B42:E42"/>
    <mergeCell ref="A43:F43"/>
    <mergeCell ref="A44:D44"/>
    <mergeCell ref="A45:D45"/>
    <mergeCell ref="A46:E46"/>
    <mergeCell ref="A47:E47"/>
  </mergeCells>
  <pageMargins left="0.7" right="0.7" top="0.75" bottom="0.75" header="0.3" footer="0.3"/>
  <pageSetup paperSize="14" scale="79" orientation="portrait" horizontalDpi="0" verticalDpi="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EECC6-C4CF-4D4F-AAE4-F3027DE9231B}">
  <sheetPr codeName="Sheet85"/>
  <dimension ref="A3:J50"/>
  <sheetViews>
    <sheetView topLeftCell="A16" workbookViewId="0">
      <selection activeCell="G50" sqref="G50"/>
    </sheetView>
  </sheetViews>
  <sheetFormatPr baseColWidth="10" defaultColWidth="8.83203125" defaultRowHeight="13" x14ac:dyDescent="0.15"/>
  <sheetData>
    <row r="3" spans="1:1" x14ac:dyDescent="0.15">
      <c r="A3" s="61"/>
    </row>
    <row r="34" spans="1:10" x14ac:dyDescent="0.15">
      <c r="A34" s="61"/>
    </row>
    <row r="47" spans="1:10" x14ac:dyDescent="0.15">
      <c r="J47">
        <f>13*6*7850*3.1416*(0.006^2)</f>
        <v>69.249660480000003</v>
      </c>
    </row>
    <row r="49" spans="1:5" x14ac:dyDescent="0.15">
      <c r="A49" s="61" t="s">
        <v>1087</v>
      </c>
      <c r="B49">
        <f>1*1*19*0.3</f>
        <v>5.7</v>
      </c>
    </row>
    <row r="50" spans="1:5" x14ac:dyDescent="0.15">
      <c r="A50" s="61" t="s">
        <v>311</v>
      </c>
      <c r="B50" s="61">
        <v>10</v>
      </c>
      <c r="C50">
        <f>7850*3.1416*(0.006^2)</f>
        <v>0.88781616000000008</v>
      </c>
      <c r="D50">
        <v>19</v>
      </c>
      <c r="E50" s="415">
        <f>D50*C50*B50</f>
        <v>168.6850704</v>
      </c>
    </row>
  </sheetData>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75721-8CD3-4BE1-8287-F46B7D965640}">
  <sheetPr codeName="Sheet86"/>
  <dimension ref="A32:EK52"/>
  <sheetViews>
    <sheetView workbookViewId="0">
      <selection activeCell="F57" sqref="F57"/>
    </sheetView>
  </sheetViews>
  <sheetFormatPr baseColWidth="10" defaultColWidth="8.83203125" defaultRowHeight="13" x14ac:dyDescent="0.15"/>
  <sheetData>
    <row r="32" spans="91:141" x14ac:dyDescent="0.15">
      <c r="CM32">
        <f>0.14175+0.1665</f>
        <v>0.30825000000000002</v>
      </c>
      <c r="DG32">
        <f>0.144+0.27135+0.25875</f>
        <v>0.67409999999999992</v>
      </c>
      <c r="EK32">
        <f>0.288+0.225+0.18</f>
        <v>0.69300000000000006</v>
      </c>
    </row>
    <row r="33" spans="1:61" x14ac:dyDescent="0.15">
      <c r="AE33">
        <f>0.14625+0.3915+0.18</f>
        <v>0.71774999999999989</v>
      </c>
      <c r="BI33">
        <f>0.11565+0.23085+0.045</f>
        <v>0.39150000000000001</v>
      </c>
    </row>
    <row r="35" spans="1:61" x14ac:dyDescent="0.15">
      <c r="A35">
        <f>0.144+0.036+0.144</f>
        <v>0.32399999999999995</v>
      </c>
    </row>
    <row r="37" spans="1:61" x14ac:dyDescent="0.15">
      <c r="A37">
        <f>A35+AE33+BI33+DG32+EK32+CM32</f>
        <v>3.1086</v>
      </c>
      <c r="C37">
        <v>58.18</v>
      </c>
    </row>
    <row r="38" spans="1:61" x14ac:dyDescent="0.15">
      <c r="C38">
        <f>C37*0.3*0.6</f>
        <v>10.4724</v>
      </c>
    </row>
    <row r="40" spans="1:61" x14ac:dyDescent="0.15">
      <c r="A40" t="s">
        <v>311</v>
      </c>
      <c r="B40" t="s">
        <v>352</v>
      </c>
    </row>
    <row r="41" spans="1:61" x14ac:dyDescent="0.15">
      <c r="B41">
        <v>42</v>
      </c>
      <c r="C41">
        <f>6*7850*3.1416*(0.006^2)</f>
        <v>5.32689696</v>
      </c>
      <c r="D41" s="415">
        <f>C41*B41</f>
        <v>223.72967231999999</v>
      </c>
    </row>
    <row r="42" spans="1:61" x14ac:dyDescent="0.15">
      <c r="A42" t="s">
        <v>310</v>
      </c>
      <c r="B42" t="s">
        <v>352</v>
      </c>
    </row>
    <row r="43" spans="1:61" x14ac:dyDescent="0.15">
      <c r="B43">
        <v>22</v>
      </c>
      <c r="C43">
        <f>6*7850*3.1416*(0.005^2)</f>
        <v>3.6992339999999997</v>
      </c>
      <c r="D43" s="415">
        <f>C43*B43</f>
        <v>81.383147999999991</v>
      </c>
    </row>
    <row r="45" spans="1:61" x14ac:dyDescent="0.15">
      <c r="A45" t="s">
        <v>1079</v>
      </c>
      <c r="B45" s="415">
        <f>C37*0.1*0.3</f>
        <v>1.7454000000000001</v>
      </c>
    </row>
    <row r="47" spans="1:61" x14ac:dyDescent="0.15">
      <c r="C47" t="s">
        <v>1078</v>
      </c>
    </row>
    <row r="48" spans="1:61" x14ac:dyDescent="0.15">
      <c r="C48">
        <v>66.680000000000007</v>
      </c>
      <c r="D48" s="415">
        <f>C48*0.3*0.2</f>
        <v>4.0008000000000008</v>
      </c>
    </row>
    <row r="49" spans="1:5" x14ac:dyDescent="0.15">
      <c r="A49" s="61" t="s">
        <v>1088</v>
      </c>
      <c r="C49">
        <f>C48*0.6*0.3</f>
        <v>12.0024</v>
      </c>
    </row>
    <row r="50" spans="1:5" x14ac:dyDescent="0.15">
      <c r="A50" s="61" t="s">
        <v>311</v>
      </c>
      <c r="C50">
        <f>C48*3</f>
        <v>200.04000000000002</v>
      </c>
      <c r="D50">
        <f>7850*3.1416*(0.006^2)</f>
        <v>0.88781616000000008</v>
      </c>
      <c r="E50" s="415">
        <f>C50*D50</f>
        <v>177.59874464640004</v>
      </c>
    </row>
    <row r="51" spans="1:5" x14ac:dyDescent="0.15">
      <c r="A51" s="61" t="s">
        <v>310</v>
      </c>
      <c r="C51">
        <f>C48/0.3*0.5</f>
        <v>111.13333333333335</v>
      </c>
      <c r="D51">
        <f>7850*3.1416*(0.005^2)</f>
        <v>0.61653900000000006</v>
      </c>
      <c r="E51" s="415">
        <f>D51*C51</f>
        <v>68.518034200000017</v>
      </c>
    </row>
    <row r="52" spans="1:5" x14ac:dyDescent="0.15">
      <c r="D52">
        <f>C48*0.1*0.3</f>
        <v>2.0004000000000004</v>
      </c>
    </row>
  </sheetData>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7EDFF-D5E2-4781-A9E9-4CDB8E48B9DD}">
  <sheetPr codeName="Sheet87"/>
  <dimension ref="A2:H38"/>
  <sheetViews>
    <sheetView workbookViewId="0">
      <selection activeCell="C47" sqref="C47"/>
    </sheetView>
  </sheetViews>
  <sheetFormatPr baseColWidth="10" defaultColWidth="8.83203125" defaultRowHeight="13" x14ac:dyDescent="0.15"/>
  <cols>
    <col min="1" max="1" width="16.83203125" customWidth="1"/>
    <col min="2" max="2" width="18.1640625" customWidth="1"/>
    <col min="3" max="3" width="19" customWidth="1"/>
    <col min="4" max="4" width="22" customWidth="1"/>
    <col min="5" max="5" width="21.5" customWidth="1"/>
    <col min="7" max="7" width="9.6640625" customWidth="1"/>
  </cols>
  <sheetData>
    <row r="2" spans="1:8" x14ac:dyDescent="0.15">
      <c r="A2" s="61" t="s">
        <v>993</v>
      </c>
      <c r="B2" s="61"/>
      <c r="E2" s="414" t="s">
        <v>994</v>
      </c>
      <c r="G2" s="61" t="s">
        <v>1003</v>
      </c>
    </row>
    <row r="3" spans="1:8" x14ac:dyDescent="0.15">
      <c r="A3" s="61"/>
      <c r="B3" s="61"/>
      <c r="E3" s="407"/>
      <c r="G3" s="61" t="s">
        <v>1004</v>
      </c>
    </row>
    <row r="4" spans="1:8" x14ac:dyDescent="0.15">
      <c r="A4" s="60" t="s">
        <v>997</v>
      </c>
      <c r="B4" s="60"/>
    </row>
    <row r="5" spans="1:8" x14ac:dyDescent="0.15">
      <c r="A5" s="60"/>
      <c r="B5" s="60"/>
    </row>
    <row r="6" spans="1:8" x14ac:dyDescent="0.15">
      <c r="A6" s="61" t="s">
        <v>995</v>
      </c>
      <c r="B6" s="61"/>
    </row>
    <row r="8" spans="1:8" x14ac:dyDescent="0.15">
      <c r="B8" s="61" t="s">
        <v>996</v>
      </c>
      <c r="C8" s="408">
        <f>0.6*0.6*0.075</f>
        <v>2.7E-2</v>
      </c>
      <c r="D8" s="352" t="s">
        <v>998</v>
      </c>
    </row>
    <row r="9" spans="1:8" x14ac:dyDescent="0.15">
      <c r="C9" s="408"/>
      <c r="D9" s="408"/>
    </row>
    <row r="10" spans="1:8" x14ac:dyDescent="0.15">
      <c r="B10" s="61" t="s">
        <v>999</v>
      </c>
      <c r="C10" s="408">
        <f>0.003857142</f>
        <v>3.857142E-3</v>
      </c>
      <c r="D10" s="352" t="s">
        <v>1001</v>
      </c>
    </row>
    <row r="11" spans="1:8" x14ac:dyDescent="0.15">
      <c r="B11" s="61" t="s">
        <v>1000</v>
      </c>
      <c r="C11" s="408">
        <f>C10*6</f>
        <v>2.3142851999999998E-2</v>
      </c>
      <c r="D11" s="352" t="s">
        <v>1001</v>
      </c>
    </row>
    <row r="12" spans="1:8" x14ac:dyDescent="0.15">
      <c r="C12" s="408"/>
      <c r="D12" s="408"/>
    </row>
    <row r="13" spans="1:8" x14ac:dyDescent="0.15">
      <c r="B13" s="61" t="s">
        <v>1002</v>
      </c>
      <c r="C13" s="412">
        <f>+C10+C11</f>
        <v>2.6999993999999999E-2</v>
      </c>
      <c r="D13" s="352" t="s">
        <v>1001</v>
      </c>
    </row>
    <row r="14" spans="1:8" x14ac:dyDescent="0.15">
      <c r="C14" s="408"/>
      <c r="D14" s="408"/>
    </row>
    <row r="15" spans="1:8" x14ac:dyDescent="0.15">
      <c r="B15" s="61" t="s">
        <v>1008</v>
      </c>
      <c r="C15" s="408"/>
      <c r="D15" s="408"/>
    </row>
    <row r="16" spans="1:8" x14ac:dyDescent="0.15">
      <c r="B16" s="61" t="s">
        <v>1005</v>
      </c>
      <c r="C16" s="408">
        <f>C10*1000</f>
        <v>3.8571420000000001</v>
      </c>
      <c r="D16" s="352" t="s">
        <v>298</v>
      </c>
      <c r="F16" s="61" t="s">
        <v>1011</v>
      </c>
      <c r="G16" s="61" t="s">
        <v>1013</v>
      </c>
      <c r="H16" s="61" t="s">
        <v>1012</v>
      </c>
    </row>
    <row r="17" spans="1:8" x14ac:dyDescent="0.15">
      <c r="B17" s="409" t="s">
        <v>1006</v>
      </c>
      <c r="C17" s="410">
        <f>C16/50</f>
        <v>7.7142840000000004E-2</v>
      </c>
      <c r="D17" s="411" t="s">
        <v>1007</v>
      </c>
      <c r="F17" s="59">
        <v>240</v>
      </c>
      <c r="G17">
        <f>F17*C17</f>
        <v>18.5142816</v>
      </c>
      <c r="H17" s="839">
        <v>75</v>
      </c>
    </row>
    <row r="18" spans="1:8" x14ac:dyDescent="0.15">
      <c r="F18" s="59"/>
      <c r="H18" s="839"/>
    </row>
    <row r="19" spans="1:8" x14ac:dyDescent="0.15">
      <c r="F19" s="59"/>
      <c r="H19" s="839"/>
    </row>
    <row r="20" spans="1:8" x14ac:dyDescent="0.15">
      <c r="B20" s="61" t="s">
        <v>1009</v>
      </c>
      <c r="F20" s="59"/>
      <c r="H20" s="839"/>
    </row>
    <row r="21" spans="1:8" x14ac:dyDescent="0.15">
      <c r="B21" s="411" t="s">
        <v>1010</v>
      </c>
      <c r="C21" s="410">
        <f>C11</f>
        <v>2.3142851999999998E-2</v>
      </c>
      <c r="D21" s="410" t="str">
        <f>D13</f>
        <v>cu m</v>
      </c>
      <c r="F21" s="59">
        <v>350</v>
      </c>
      <c r="G21">
        <f>F21*C21</f>
        <v>8.0999981999999999</v>
      </c>
      <c r="H21" s="839"/>
    </row>
    <row r="24" spans="1:8" x14ac:dyDescent="0.15">
      <c r="A24" s="61" t="s">
        <v>989</v>
      </c>
      <c r="B24" s="411" t="s">
        <v>1005</v>
      </c>
      <c r="C24" s="410">
        <v>0.14285714290000001</v>
      </c>
      <c r="D24" s="410" t="s">
        <v>298</v>
      </c>
      <c r="F24" s="59">
        <v>76</v>
      </c>
      <c r="G24">
        <f>C24*F24</f>
        <v>10.857142860400002</v>
      </c>
    </row>
    <row r="25" spans="1:8" s="59" customFormat="1" x14ac:dyDescent="0.15">
      <c r="A25" s="413" t="s">
        <v>990</v>
      </c>
      <c r="B25" s="411" t="s">
        <v>1005</v>
      </c>
      <c r="C25" s="410">
        <v>1.5</v>
      </c>
      <c r="D25" s="410" t="s">
        <v>298</v>
      </c>
      <c r="E25" s="65"/>
      <c r="F25" s="59">
        <v>15</v>
      </c>
      <c r="G25">
        <f>C25*F25</f>
        <v>22.5</v>
      </c>
    </row>
    <row r="28" spans="1:8" x14ac:dyDescent="0.15">
      <c r="A28" s="61" t="s">
        <v>1014</v>
      </c>
      <c r="B28" s="411" t="s">
        <v>1015</v>
      </c>
      <c r="C28" s="410">
        <v>1</v>
      </c>
      <c r="D28" s="410" t="s">
        <v>352</v>
      </c>
      <c r="F28">
        <v>190</v>
      </c>
      <c r="G28">
        <f>F28*C28</f>
        <v>190</v>
      </c>
    </row>
    <row r="30" spans="1:8" x14ac:dyDescent="0.15">
      <c r="F30" s="61" t="s">
        <v>102</v>
      </c>
      <c r="G30" s="61" t="s">
        <v>1017</v>
      </c>
    </row>
    <row r="31" spans="1:8" x14ac:dyDescent="0.15">
      <c r="E31" s="61" t="s">
        <v>1016</v>
      </c>
      <c r="F31">
        <f>SUM(G17:G28)</f>
        <v>249.97142266040001</v>
      </c>
      <c r="G31">
        <f>F31*0.3</f>
        <v>74.991426798120003</v>
      </c>
    </row>
    <row r="32" spans="1:8" x14ac:dyDescent="0.15">
      <c r="F32" s="415">
        <v>250</v>
      </c>
      <c r="G32" s="415">
        <v>75</v>
      </c>
    </row>
    <row r="34" spans="5:7" x14ac:dyDescent="0.15">
      <c r="E34" s="61" t="s">
        <v>1018</v>
      </c>
      <c r="F34">
        <v>695</v>
      </c>
      <c r="G34">
        <v>209</v>
      </c>
    </row>
    <row r="36" spans="5:7" x14ac:dyDescent="0.15">
      <c r="F36">
        <v>900</v>
      </c>
    </row>
    <row r="37" spans="5:7" x14ac:dyDescent="0.15">
      <c r="F37">
        <f>F36-F34</f>
        <v>205</v>
      </c>
    </row>
    <row r="38" spans="5:7" x14ac:dyDescent="0.15">
      <c r="F38">
        <f>F37/F34</f>
        <v>0.29496402877697842</v>
      </c>
    </row>
  </sheetData>
  <mergeCells count="1">
    <mergeCell ref="H17:H21"/>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28EB6-A8A8-4FBE-89D5-F27C823B2D02}">
  <sheetPr codeName="Sheet88"/>
  <dimension ref="A3:U136"/>
  <sheetViews>
    <sheetView topLeftCell="A99" workbookViewId="0">
      <selection activeCell="F130" sqref="F130:F131"/>
    </sheetView>
  </sheetViews>
  <sheetFormatPr baseColWidth="10" defaultColWidth="8.83203125" defaultRowHeight="13" x14ac:dyDescent="0.15"/>
  <cols>
    <col min="3" max="3" width="11.6640625" customWidth="1"/>
    <col min="20" max="20" width="10.33203125" customWidth="1"/>
  </cols>
  <sheetData>
    <row r="3" spans="1:21" x14ac:dyDescent="0.15">
      <c r="A3" t="s">
        <v>1019</v>
      </c>
      <c r="C3" s="60" t="s">
        <v>1020</v>
      </c>
      <c r="D3">
        <f>4.85+1.5+0.3</f>
        <v>6.6499999999999995</v>
      </c>
      <c r="T3" s="60" t="s">
        <v>1021</v>
      </c>
      <c r="U3">
        <f>4.85+1.5+0.3</f>
        <v>6.6499999999999995</v>
      </c>
    </row>
    <row r="44" spans="1:20" x14ac:dyDescent="0.15">
      <c r="A44" t="s">
        <v>1022</v>
      </c>
      <c r="C44" s="60" t="s">
        <v>1020</v>
      </c>
      <c r="D44">
        <f>4.1+1.5+0.3</f>
        <v>5.8999999999999995</v>
      </c>
      <c r="T44" s="60"/>
    </row>
    <row r="88" spans="1:21" ht="12" customHeight="1" x14ac:dyDescent="0.15">
      <c r="A88" t="s">
        <v>1023</v>
      </c>
      <c r="C88" s="60" t="s">
        <v>1020</v>
      </c>
      <c r="D88">
        <f>3.5+1.5+0.3</f>
        <v>5.3</v>
      </c>
      <c r="T88" s="60" t="s">
        <v>1021</v>
      </c>
      <c r="U88">
        <f>D88</f>
        <v>5.3</v>
      </c>
    </row>
    <row r="129" spans="1:7" x14ac:dyDescent="0.15">
      <c r="E129" s="61" t="s">
        <v>1086</v>
      </c>
    </row>
    <row r="130" spans="1:7" x14ac:dyDescent="0.15">
      <c r="A130" s="61" t="s">
        <v>1084</v>
      </c>
      <c r="B130">
        <f>14*0.3*0.3*6.65</f>
        <v>8.3790000000000013</v>
      </c>
      <c r="D130" s="61" t="s">
        <v>311</v>
      </c>
      <c r="E130">
        <v>944.3</v>
      </c>
      <c r="F130">
        <f>7850*3.1416*(0.006^2)</f>
        <v>0.88781616000000008</v>
      </c>
      <c r="G130" s="415">
        <f>F130*E130</f>
        <v>838.36479988799999</v>
      </c>
    </row>
    <row r="131" spans="1:7" x14ac:dyDescent="0.15">
      <c r="A131" s="61" t="s">
        <v>1085</v>
      </c>
      <c r="B131">
        <f>0.3*0.2*6.65*5</f>
        <v>1.9950000000000001</v>
      </c>
      <c r="D131" s="61" t="s">
        <v>310</v>
      </c>
      <c r="E131">
        <v>947.625</v>
      </c>
      <c r="F131">
        <f>7850*3.1416*(0.005^2)</f>
        <v>0.61653900000000006</v>
      </c>
      <c r="G131" s="415">
        <f>F131*E131</f>
        <v>584.24776987500002</v>
      </c>
    </row>
    <row r="132" spans="1:7" x14ac:dyDescent="0.15">
      <c r="B132" s="415">
        <f>B130+B131</f>
        <v>10.374000000000002</v>
      </c>
      <c r="E132" s="61" t="s">
        <v>1086</v>
      </c>
    </row>
    <row r="133" spans="1:7" x14ac:dyDescent="0.15">
      <c r="E133">
        <f>6.65/0.2</f>
        <v>33.25</v>
      </c>
    </row>
    <row r="134" spans="1:7" x14ac:dyDescent="0.15">
      <c r="E134">
        <v>1.5</v>
      </c>
    </row>
    <row r="135" spans="1:7" x14ac:dyDescent="0.15">
      <c r="E135">
        <f>E133*E134</f>
        <v>49.875</v>
      </c>
    </row>
    <row r="136" spans="1:7" x14ac:dyDescent="0.15">
      <c r="E136">
        <f>E135*19</f>
        <v>947.625</v>
      </c>
    </row>
  </sheetData>
  <pageMargins left="0.7" right="0.7" top="0.75" bottom="0.75" header="0.3" footer="0.3"/>
  <pageSetup orientation="portrait" horizontalDpi="0" verticalDpi="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1DA56-96EE-418D-B670-D03447B582FF}">
  <sheetPr codeName="Sheet89"/>
  <dimension ref="A2:CX56"/>
  <sheetViews>
    <sheetView topLeftCell="A13" zoomScale="90" zoomScaleNormal="90" workbookViewId="0">
      <selection activeCell="D52" sqref="D52"/>
    </sheetView>
  </sheetViews>
  <sheetFormatPr baseColWidth="10" defaultColWidth="8.83203125" defaultRowHeight="13" x14ac:dyDescent="0.15"/>
  <cols>
    <col min="2" max="2" width="12.33203125" customWidth="1"/>
  </cols>
  <sheetData>
    <row r="2" spans="1:4" x14ac:dyDescent="0.15">
      <c r="A2" s="60" t="s">
        <v>1025</v>
      </c>
      <c r="C2" t="s">
        <v>1024</v>
      </c>
      <c r="D2">
        <f>14.8+32.3+10.5+6.5</f>
        <v>64.099999999999994</v>
      </c>
    </row>
    <row r="45" spans="1:102" x14ac:dyDescent="0.15">
      <c r="A45" s="60" t="s">
        <v>1026</v>
      </c>
      <c r="B45" s="415"/>
      <c r="J45" s="60" t="s">
        <v>1026</v>
      </c>
      <c r="K45" s="422" t="s">
        <v>1027</v>
      </c>
      <c r="T45" s="60" t="s">
        <v>1026</v>
      </c>
      <c r="U45" s="422" t="s">
        <v>1028</v>
      </c>
      <c r="AD45" s="60" t="s">
        <v>1026</v>
      </c>
      <c r="AE45" s="422" t="s">
        <v>1029</v>
      </c>
      <c r="AN45" s="60" t="s">
        <v>1026</v>
      </c>
      <c r="AO45" s="422" t="s">
        <v>1030</v>
      </c>
      <c r="AX45" s="60" t="s">
        <v>1026</v>
      </c>
      <c r="AY45" s="422" t="s">
        <v>1031</v>
      </c>
      <c r="BI45" s="60" t="s">
        <v>1026</v>
      </c>
      <c r="BJ45" s="422" t="s">
        <v>1032</v>
      </c>
      <c r="BS45" s="60" t="s">
        <v>1026</v>
      </c>
      <c r="BT45" s="422" t="s">
        <v>1033</v>
      </c>
      <c r="CC45" s="60" t="s">
        <v>1026</v>
      </c>
      <c r="CD45" s="422" t="s">
        <v>1034</v>
      </c>
      <c r="CM45" s="60" t="s">
        <v>1026</v>
      </c>
      <c r="CN45" s="422" t="s">
        <v>1035</v>
      </c>
      <c r="CW45" s="60" t="s">
        <v>1026</v>
      </c>
      <c r="CX45" s="422" t="s">
        <v>1028</v>
      </c>
    </row>
    <row r="48" spans="1:102" x14ac:dyDescent="0.15">
      <c r="A48">
        <f>3.975</f>
        <v>3.9750000000000001</v>
      </c>
    </row>
    <row r="49" spans="1:3" x14ac:dyDescent="0.15">
      <c r="A49" t="s">
        <v>311</v>
      </c>
      <c r="B49" t="s">
        <v>1080</v>
      </c>
      <c r="C49">
        <f>3.1416*7850*71*(0.006^2)*6</f>
        <v>378.20968416000005</v>
      </c>
    </row>
    <row r="50" spans="1:3" x14ac:dyDescent="0.15">
      <c r="A50" t="s">
        <v>310</v>
      </c>
      <c r="B50" t="s">
        <v>1081</v>
      </c>
      <c r="C50">
        <f>3.1416*7850*109*(0.005^2)*6</f>
        <v>403.21650600000004</v>
      </c>
    </row>
    <row r="52" spans="1:3" x14ac:dyDescent="0.15">
      <c r="A52" t="s">
        <v>1082</v>
      </c>
    </row>
    <row r="54" spans="1:3" x14ac:dyDescent="0.15">
      <c r="A54">
        <v>84.29</v>
      </c>
    </row>
    <row r="56" spans="1:3" x14ac:dyDescent="0.15">
      <c r="A56">
        <f>A54*0.2*0.3*1.1</f>
        <v>5.5631400000000006</v>
      </c>
      <c r="B56">
        <f>A54*0.4*0.2*1.1</f>
        <v>7.4175200000000014</v>
      </c>
      <c r="C56">
        <f>A54*0.1*0.2</f>
        <v>1.6858000000000002</v>
      </c>
    </row>
  </sheetData>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612D1-F809-4727-BD77-F63355686831}">
  <sheetPr codeName="Sheet90"/>
  <dimension ref="DA44:DD48"/>
  <sheetViews>
    <sheetView topLeftCell="DA16" workbookViewId="0">
      <selection activeCell="DF57" sqref="DF57"/>
    </sheetView>
  </sheetViews>
  <sheetFormatPr baseColWidth="10" defaultColWidth="8.83203125" defaultRowHeight="13" x14ac:dyDescent="0.15"/>
  <sheetData>
    <row r="44" spans="105:108" x14ac:dyDescent="0.15">
      <c r="DB44" s="61" t="s">
        <v>1089</v>
      </c>
      <c r="DD44" s="61" t="s">
        <v>1090</v>
      </c>
    </row>
    <row r="45" spans="105:108" x14ac:dyDescent="0.15">
      <c r="DA45" s="61" t="s">
        <v>1087</v>
      </c>
      <c r="DB45">
        <v>67.13</v>
      </c>
      <c r="DC45">
        <f>0.2*0.3</f>
        <v>0.06</v>
      </c>
      <c r="DD45" s="415">
        <f>DB45*DC45</f>
        <v>4.0277999999999992</v>
      </c>
    </row>
    <row r="47" spans="105:108" x14ac:dyDescent="0.15">
      <c r="DA47" s="61" t="s">
        <v>311</v>
      </c>
      <c r="DB47">
        <f>DB45*4</f>
        <v>268.52</v>
      </c>
      <c r="DC47">
        <f>7850*3.1416*(0.006^2)</f>
        <v>0.88781616000000008</v>
      </c>
      <c r="DD47" s="415">
        <f>DB47*DC47</f>
        <v>238.39639528320001</v>
      </c>
    </row>
    <row r="48" spans="105:108" x14ac:dyDescent="0.15">
      <c r="DA48" s="61" t="s">
        <v>310</v>
      </c>
      <c r="DB48">
        <f>DB45/0.2*1</f>
        <v>335.65</v>
      </c>
      <c r="DC48">
        <f>7850*3.1416*(0.005^2)</f>
        <v>0.61653900000000006</v>
      </c>
      <c r="DD48" s="415">
        <f>DB48*DC48</f>
        <v>206.94131535</v>
      </c>
    </row>
  </sheetData>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D548F-AC70-4642-ABC9-BCE94515BEEC}">
  <sheetPr codeName="Sheet91"/>
  <dimension ref="A1:J97"/>
  <sheetViews>
    <sheetView topLeftCell="A59" zoomScaleNormal="100" workbookViewId="0">
      <selection activeCell="J78" sqref="J78"/>
    </sheetView>
  </sheetViews>
  <sheetFormatPr baseColWidth="10" defaultColWidth="8.83203125" defaultRowHeight="13" x14ac:dyDescent="0.15"/>
  <cols>
    <col min="1" max="1" width="35" customWidth="1"/>
    <col min="3" max="3" width="23" customWidth="1"/>
  </cols>
  <sheetData>
    <row r="1" spans="1:10" x14ac:dyDescent="0.15">
      <c r="A1" s="60" t="s">
        <v>1036</v>
      </c>
      <c r="F1" s="424" t="s">
        <v>230</v>
      </c>
    </row>
    <row r="2" spans="1:10" x14ac:dyDescent="0.15">
      <c r="B2" s="59" t="s">
        <v>98</v>
      </c>
      <c r="C2" s="65" t="s">
        <v>1052</v>
      </c>
      <c r="J2" s="61" t="s">
        <v>1101</v>
      </c>
    </row>
    <row r="3" spans="1:10" x14ac:dyDescent="0.15">
      <c r="A3" t="s">
        <v>1037</v>
      </c>
      <c r="B3" s="423">
        <v>25.34</v>
      </c>
      <c r="C3" s="423">
        <f>B3*2</f>
        <v>50.68</v>
      </c>
      <c r="D3">
        <v>12.14</v>
      </c>
      <c r="F3" s="415">
        <f>C3*3</f>
        <v>152.04</v>
      </c>
      <c r="G3" s="65" t="s">
        <v>98</v>
      </c>
      <c r="J3" s="415">
        <f>F3+F28+F48</f>
        <v>229.98999999999998</v>
      </c>
    </row>
    <row r="4" spans="1:10" x14ac:dyDescent="0.15">
      <c r="A4" t="s">
        <v>1040</v>
      </c>
      <c r="B4" s="415">
        <v>20.296399999999998</v>
      </c>
      <c r="C4" s="425">
        <f>B4*1</f>
        <v>20.296399999999998</v>
      </c>
      <c r="F4">
        <f>C4*3</f>
        <v>60.889199999999995</v>
      </c>
      <c r="G4" s="65" t="s">
        <v>98</v>
      </c>
    </row>
    <row r="5" spans="1:10" x14ac:dyDescent="0.15">
      <c r="A5" t="s">
        <v>1039</v>
      </c>
      <c r="B5" s="415">
        <v>16.556799999999999</v>
      </c>
      <c r="C5" s="425">
        <f>B5*1</f>
        <v>16.556799999999999</v>
      </c>
      <c r="F5">
        <f t="shared" ref="F5" si="0">C5*3</f>
        <v>49.670400000000001</v>
      </c>
      <c r="G5" s="65" t="s">
        <v>98</v>
      </c>
    </row>
    <row r="8" spans="1:10" x14ac:dyDescent="0.15">
      <c r="A8" s="60" t="s">
        <v>1041</v>
      </c>
      <c r="B8" t="s">
        <v>1043</v>
      </c>
    </row>
    <row r="9" spans="1:10" x14ac:dyDescent="0.15">
      <c r="A9" t="s">
        <v>1038</v>
      </c>
      <c r="B9" s="415">
        <v>0.3</v>
      </c>
      <c r="C9" s="425">
        <f t="shared" ref="C9:C13" si="1">B9*1</f>
        <v>0.3</v>
      </c>
      <c r="F9">
        <f t="shared" ref="F9:F10" si="2">C9*3</f>
        <v>0.89999999999999991</v>
      </c>
    </row>
    <row r="10" spans="1:10" x14ac:dyDescent="0.15">
      <c r="A10" t="s">
        <v>1039</v>
      </c>
      <c r="B10" s="415">
        <v>0.54</v>
      </c>
      <c r="C10" s="425">
        <f t="shared" si="1"/>
        <v>0.54</v>
      </c>
      <c r="F10">
        <f t="shared" si="2"/>
        <v>1.62</v>
      </c>
    </row>
    <row r="11" spans="1:10" x14ac:dyDescent="0.15">
      <c r="A11" t="s">
        <v>1045</v>
      </c>
      <c r="B11" s="415">
        <v>1.54</v>
      </c>
      <c r="C11" s="423">
        <v>6.5</v>
      </c>
      <c r="F11" s="415">
        <v>12</v>
      </c>
      <c r="G11" s="61" t="s">
        <v>1054</v>
      </c>
    </row>
    <row r="12" spans="1:10" x14ac:dyDescent="0.15">
      <c r="A12" t="s">
        <v>1044</v>
      </c>
      <c r="B12" s="415">
        <v>1.1000000000000001</v>
      </c>
      <c r="C12" s="423">
        <f t="shared" si="1"/>
        <v>1.1000000000000001</v>
      </c>
      <c r="F12" s="415">
        <f t="shared" ref="F12:F13" si="3">C12*3</f>
        <v>3.3000000000000003</v>
      </c>
    </row>
    <row r="13" spans="1:10" x14ac:dyDescent="0.15">
      <c r="A13" t="s">
        <v>1044</v>
      </c>
      <c r="B13" s="415">
        <v>0.85</v>
      </c>
      <c r="C13" s="423">
        <f t="shared" si="1"/>
        <v>0.85</v>
      </c>
      <c r="F13" s="415">
        <f t="shared" si="3"/>
        <v>2.5499999999999998</v>
      </c>
    </row>
    <row r="16" spans="1:10" x14ac:dyDescent="0.15">
      <c r="A16" s="60" t="s">
        <v>1046</v>
      </c>
      <c r="B16" s="61" t="s">
        <v>1049</v>
      </c>
      <c r="C16" s="61" t="s">
        <v>1042</v>
      </c>
    </row>
    <row r="17" spans="1:7" x14ac:dyDescent="0.15">
      <c r="A17" s="61" t="s">
        <v>1047</v>
      </c>
      <c r="B17" s="415">
        <v>22</v>
      </c>
      <c r="C17" s="415">
        <v>6.5</v>
      </c>
      <c r="F17" s="415">
        <f>C17*B17</f>
        <v>143</v>
      </c>
      <c r="G17" s="65" t="s">
        <v>98</v>
      </c>
    </row>
    <row r="18" spans="1:7" x14ac:dyDescent="0.15">
      <c r="A18" s="61" t="s">
        <v>1048</v>
      </c>
      <c r="B18" s="415">
        <f>C17/1.1</f>
        <v>5.9090909090909083</v>
      </c>
      <c r="C18" s="415">
        <f>6.2</f>
        <v>6.2</v>
      </c>
      <c r="F18" s="415">
        <v>6</v>
      </c>
      <c r="G18" s="65" t="s">
        <v>1055</v>
      </c>
    </row>
    <row r="19" spans="1:7" x14ac:dyDescent="0.15">
      <c r="A19" s="61" t="s">
        <v>1050</v>
      </c>
    </row>
    <row r="20" spans="1:7" x14ac:dyDescent="0.15">
      <c r="A20" s="61" t="s">
        <v>1051</v>
      </c>
      <c r="B20" s="415">
        <v>22</v>
      </c>
      <c r="C20" s="415">
        <v>0.1</v>
      </c>
      <c r="F20" s="415">
        <f>B20*C20</f>
        <v>2.2000000000000002</v>
      </c>
      <c r="G20" s="65" t="s">
        <v>98</v>
      </c>
    </row>
    <row r="26" spans="1:7" x14ac:dyDescent="0.15">
      <c r="A26" s="60" t="s">
        <v>1053</v>
      </c>
      <c r="F26" s="424" t="s">
        <v>230</v>
      </c>
    </row>
    <row r="27" spans="1:7" x14ac:dyDescent="0.15">
      <c r="B27" s="59" t="s">
        <v>98</v>
      </c>
      <c r="C27" s="65" t="s">
        <v>1052</v>
      </c>
    </row>
    <row r="28" spans="1:7" x14ac:dyDescent="0.15">
      <c r="A28" t="s">
        <v>1037</v>
      </c>
      <c r="B28" s="423">
        <v>6.4</v>
      </c>
      <c r="C28" s="423">
        <f>B28*1</f>
        <v>6.4</v>
      </c>
      <c r="F28" s="415">
        <f>C28*4</f>
        <v>25.6</v>
      </c>
      <c r="G28" s="65" t="s">
        <v>98</v>
      </c>
    </row>
    <row r="29" spans="1:7" x14ac:dyDescent="0.15">
      <c r="A29" s="61" t="s">
        <v>1056</v>
      </c>
      <c r="B29" s="415">
        <v>4.5</v>
      </c>
      <c r="C29" s="423">
        <f>B29*1</f>
        <v>4.5</v>
      </c>
      <c r="F29" s="415">
        <f>C29*4</f>
        <v>18</v>
      </c>
      <c r="G29" s="65" t="s">
        <v>98</v>
      </c>
    </row>
    <row r="32" spans="1:7" x14ac:dyDescent="0.15">
      <c r="A32" s="60" t="s">
        <v>1041</v>
      </c>
      <c r="B32" s="61" t="s">
        <v>1049</v>
      </c>
      <c r="C32" s="61" t="s">
        <v>1042</v>
      </c>
    </row>
    <row r="33" spans="1:7" x14ac:dyDescent="0.15">
      <c r="A33" s="61" t="s">
        <v>1058</v>
      </c>
      <c r="B33" s="415">
        <v>1</v>
      </c>
      <c r="C33" s="415">
        <v>7.42</v>
      </c>
      <c r="F33" s="415">
        <f>B33*C33</f>
        <v>7.42</v>
      </c>
      <c r="G33" s="65" t="s">
        <v>98</v>
      </c>
    </row>
    <row r="34" spans="1:7" x14ac:dyDescent="0.15">
      <c r="A34" s="61" t="s">
        <v>1059</v>
      </c>
      <c r="B34" s="415">
        <v>1</v>
      </c>
      <c r="C34" s="415">
        <v>7.42</v>
      </c>
      <c r="F34" s="415">
        <f>B34*C34</f>
        <v>7.42</v>
      </c>
      <c r="G34" s="65" t="s">
        <v>98</v>
      </c>
    </row>
    <row r="35" spans="1:7" x14ac:dyDescent="0.15">
      <c r="A35" t="s">
        <v>1045</v>
      </c>
      <c r="B35" s="415">
        <f>C33/1.2</f>
        <v>6.1833333333333336</v>
      </c>
      <c r="F35" s="415">
        <v>7</v>
      </c>
      <c r="G35" s="61" t="s">
        <v>1054</v>
      </c>
    </row>
    <row r="38" spans="1:7" x14ac:dyDescent="0.15">
      <c r="A38" s="60" t="s">
        <v>1046</v>
      </c>
      <c r="B38" s="61" t="s">
        <v>1049</v>
      </c>
      <c r="C38" s="61" t="s">
        <v>1042</v>
      </c>
    </row>
    <row r="39" spans="1:7" x14ac:dyDescent="0.15">
      <c r="A39" s="61" t="s">
        <v>1047</v>
      </c>
      <c r="B39" s="415">
        <v>6</v>
      </c>
      <c r="C39" s="415">
        <v>7.42</v>
      </c>
      <c r="F39" s="415">
        <f>C39*B39</f>
        <v>44.519999999999996</v>
      </c>
      <c r="G39" s="65" t="s">
        <v>98</v>
      </c>
    </row>
    <row r="40" spans="1:7" x14ac:dyDescent="0.15">
      <c r="A40" s="61" t="s">
        <v>1048</v>
      </c>
      <c r="B40" s="415">
        <f>C39/1.1</f>
        <v>6.7454545454545451</v>
      </c>
      <c r="C40" s="415">
        <v>3.03</v>
      </c>
      <c r="F40" s="415">
        <v>7</v>
      </c>
      <c r="G40" s="65" t="s">
        <v>1057</v>
      </c>
    </row>
    <row r="41" spans="1:7" x14ac:dyDescent="0.15">
      <c r="A41" s="61" t="s">
        <v>1050</v>
      </c>
    </row>
    <row r="42" spans="1:7" x14ac:dyDescent="0.15">
      <c r="A42" s="61" t="s">
        <v>1051</v>
      </c>
      <c r="B42" s="415">
        <v>6</v>
      </c>
      <c r="C42" s="415">
        <v>0.1</v>
      </c>
      <c r="F42" s="415">
        <f>B42*C42</f>
        <v>0.60000000000000009</v>
      </c>
      <c r="G42" s="65" t="s">
        <v>98</v>
      </c>
    </row>
    <row r="46" spans="1:7" x14ac:dyDescent="0.15">
      <c r="A46" s="60" t="s">
        <v>1060</v>
      </c>
      <c r="F46" s="424" t="s">
        <v>230</v>
      </c>
    </row>
    <row r="47" spans="1:7" x14ac:dyDescent="0.15">
      <c r="B47" s="59" t="s">
        <v>98</v>
      </c>
      <c r="C47" s="65" t="s">
        <v>1052</v>
      </c>
    </row>
    <row r="48" spans="1:7" x14ac:dyDescent="0.15">
      <c r="A48" t="s">
        <v>1037</v>
      </c>
      <c r="B48" s="423">
        <v>17.45</v>
      </c>
      <c r="C48" s="423">
        <f>B48*1</f>
        <v>17.45</v>
      </c>
      <c r="F48" s="415">
        <f>C48*3</f>
        <v>52.349999999999994</v>
      </c>
      <c r="G48" s="65" t="s">
        <v>98</v>
      </c>
    </row>
    <row r="49" spans="1:7" x14ac:dyDescent="0.15">
      <c r="A49" s="61" t="s">
        <v>1061</v>
      </c>
      <c r="B49" s="415">
        <v>13.8</v>
      </c>
      <c r="C49" s="423">
        <f>B49*1</f>
        <v>13.8</v>
      </c>
      <c r="F49" s="415">
        <f>C49*3</f>
        <v>41.400000000000006</v>
      </c>
      <c r="G49" s="65" t="s">
        <v>98</v>
      </c>
    </row>
    <row r="52" spans="1:7" x14ac:dyDescent="0.15">
      <c r="A52" s="60" t="s">
        <v>1041</v>
      </c>
      <c r="B52" s="61" t="s">
        <v>1049</v>
      </c>
      <c r="C52" s="61" t="s">
        <v>1042</v>
      </c>
    </row>
    <row r="53" spans="1:7" x14ac:dyDescent="0.15">
      <c r="A53" t="s">
        <v>1045</v>
      </c>
      <c r="B53" s="415">
        <f>2.92/2.4</f>
        <v>1.2166666666666668</v>
      </c>
      <c r="C53">
        <v>2.4</v>
      </c>
      <c r="F53" s="415">
        <v>2</v>
      </c>
      <c r="G53" s="409" t="s">
        <v>1054</v>
      </c>
    </row>
    <row r="56" spans="1:7" x14ac:dyDescent="0.15">
      <c r="A56" s="60" t="s">
        <v>1046</v>
      </c>
      <c r="B56" s="61" t="s">
        <v>1049</v>
      </c>
      <c r="C56" s="61" t="s">
        <v>1042</v>
      </c>
    </row>
    <row r="57" spans="1:7" x14ac:dyDescent="0.15">
      <c r="A57" s="61" t="s">
        <v>1047</v>
      </c>
      <c r="B57" s="415">
        <v>15</v>
      </c>
      <c r="C57" s="415">
        <v>2.92</v>
      </c>
      <c r="F57" s="415">
        <f>C57*B57</f>
        <v>43.8</v>
      </c>
      <c r="G57" s="426" t="s">
        <v>98</v>
      </c>
    </row>
    <row r="58" spans="1:7" x14ac:dyDescent="0.15">
      <c r="A58" s="61" t="s">
        <v>1048</v>
      </c>
      <c r="B58" s="415">
        <f>C57/1.1</f>
        <v>2.6545454545454543</v>
      </c>
      <c r="C58" s="415">
        <v>8.36</v>
      </c>
      <c r="F58">
        <v>3</v>
      </c>
      <c r="G58" s="426" t="s">
        <v>1062</v>
      </c>
    </row>
    <row r="59" spans="1:7" x14ac:dyDescent="0.15">
      <c r="A59" s="61" t="s">
        <v>1050</v>
      </c>
    </row>
    <row r="60" spans="1:7" x14ac:dyDescent="0.15">
      <c r="A60" s="61" t="s">
        <v>1051</v>
      </c>
      <c r="B60">
        <v>6</v>
      </c>
      <c r="C60">
        <v>0.1</v>
      </c>
      <c r="F60">
        <f>B60*C60</f>
        <v>0.60000000000000009</v>
      </c>
      <c r="G60" s="65" t="s">
        <v>98</v>
      </c>
    </row>
    <row r="64" spans="1:7" x14ac:dyDescent="0.15">
      <c r="A64" s="60" t="s">
        <v>1036</v>
      </c>
      <c r="B64" s="61" t="s">
        <v>1086</v>
      </c>
      <c r="C64" s="61" t="s">
        <v>1104</v>
      </c>
      <c r="D64" s="61" t="s">
        <v>98</v>
      </c>
      <c r="E64" s="61" t="s">
        <v>1105</v>
      </c>
      <c r="F64" s="61" t="s">
        <v>1106</v>
      </c>
    </row>
    <row r="65" spans="1:9" x14ac:dyDescent="0.15">
      <c r="A65" s="61" t="s">
        <v>1102</v>
      </c>
      <c r="B65">
        <v>25.33</v>
      </c>
      <c r="C65">
        <v>2</v>
      </c>
      <c r="D65" s="60">
        <f>B65*C65</f>
        <v>50.66</v>
      </c>
      <c r="E65">
        <v>3</v>
      </c>
      <c r="F65" s="60">
        <f>D65*E65</f>
        <v>151.97999999999999</v>
      </c>
      <c r="I65">
        <f>F65+F69+F73+F77+F81+F85+F89</f>
        <v>368.41999999999996</v>
      </c>
    </row>
    <row r="66" spans="1:9" x14ac:dyDescent="0.15">
      <c r="A66" s="61" t="s">
        <v>1103</v>
      </c>
      <c r="B66">
        <v>34</v>
      </c>
      <c r="C66">
        <v>2</v>
      </c>
      <c r="D66" s="60">
        <f>B66*C66</f>
        <v>68</v>
      </c>
      <c r="E66">
        <v>3</v>
      </c>
      <c r="F66" s="60">
        <f>D66*E66</f>
        <v>204</v>
      </c>
      <c r="I66">
        <f>F66+F70+F74+F78+F82+F86+F90</f>
        <v>385.75999999999993</v>
      </c>
    </row>
    <row r="68" spans="1:9" x14ac:dyDescent="0.15">
      <c r="A68" s="60" t="s">
        <v>1053</v>
      </c>
    </row>
    <row r="69" spans="1:9" x14ac:dyDescent="0.15">
      <c r="A69" s="61" t="s">
        <v>1102</v>
      </c>
      <c r="B69">
        <v>6.4</v>
      </c>
      <c r="C69">
        <v>2</v>
      </c>
      <c r="D69" s="60">
        <f>B69*C69</f>
        <v>12.8</v>
      </c>
      <c r="E69">
        <v>4</v>
      </c>
      <c r="F69" s="60">
        <f>D69*E69</f>
        <v>51.2</v>
      </c>
    </row>
    <row r="70" spans="1:9" x14ac:dyDescent="0.15">
      <c r="A70" s="61" t="s">
        <v>1103</v>
      </c>
      <c r="B70">
        <v>4.04</v>
      </c>
      <c r="C70">
        <v>2</v>
      </c>
      <c r="D70" s="60">
        <f>B70*C70</f>
        <v>8.08</v>
      </c>
      <c r="E70">
        <v>4</v>
      </c>
      <c r="F70" s="60">
        <f>D70*E70</f>
        <v>32.32</v>
      </c>
    </row>
    <row r="72" spans="1:9" x14ac:dyDescent="0.15">
      <c r="A72" s="60" t="s">
        <v>1060</v>
      </c>
    </row>
    <row r="73" spans="1:9" x14ac:dyDescent="0.15">
      <c r="A73" s="61" t="s">
        <v>1102</v>
      </c>
      <c r="B73">
        <v>17.45</v>
      </c>
      <c r="C73">
        <v>2</v>
      </c>
      <c r="D73" s="60">
        <f>B73*C73</f>
        <v>34.9</v>
      </c>
      <c r="E73">
        <v>3</v>
      </c>
      <c r="F73" s="60">
        <f>D73*E73</f>
        <v>104.69999999999999</v>
      </c>
    </row>
    <row r="74" spans="1:9" x14ac:dyDescent="0.15">
      <c r="A74" s="61" t="s">
        <v>1103</v>
      </c>
      <c r="B74">
        <v>13.04</v>
      </c>
      <c r="C74">
        <v>2</v>
      </c>
      <c r="D74" s="60">
        <f>B74*C74</f>
        <v>26.08</v>
      </c>
      <c r="E74">
        <v>3</v>
      </c>
      <c r="F74" s="60">
        <f>D74*E74</f>
        <v>78.239999999999995</v>
      </c>
    </row>
    <row r="76" spans="1:9" x14ac:dyDescent="0.15">
      <c r="A76" s="60" t="s">
        <v>1107</v>
      </c>
    </row>
    <row r="77" spans="1:9" x14ac:dyDescent="0.15">
      <c r="A77" s="61" t="s">
        <v>1102</v>
      </c>
      <c r="B77">
        <v>16.399999999999999</v>
      </c>
      <c r="C77">
        <v>1</v>
      </c>
      <c r="D77" s="60">
        <f>B77*C77</f>
        <v>16.399999999999999</v>
      </c>
      <c r="E77">
        <v>1</v>
      </c>
      <c r="F77" s="60">
        <f>D77*E77</f>
        <v>16.399999999999999</v>
      </c>
    </row>
    <row r="78" spans="1:9" x14ac:dyDescent="0.15">
      <c r="A78" s="61" t="s">
        <v>1103</v>
      </c>
      <c r="B78">
        <f>14.4+(6*2)</f>
        <v>26.4</v>
      </c>
      <c r="C78">
        <v>1</v>
      </c>
      <c r="D78" s="60">
        <f>B78*C78</f>
        <v>26.4</v>
      </c>
      <c r="E78">
        <v>1</v>
      </c>
      <c r="F78" s="60">
        <f>D78*E78</f>
        <v>26.4</v>
      </c>
    </row>
    <row r="80" spans="1:9" x14ac:dyDescent="0.15">
      <c r="A80" s="60" t="s">
        <v>1108</v>
      </c>
    </row>
    <row r="81" spans="1:6" x14ac:dyDescent="0.15">
      <c r="A81" s="61" t="s">
        <v>1102</v>
      </c>
      <c r="B81">
        <v>15.32</v>
      </c>
      <c r="C81">
        <v>1</v>
      </c>
      <c r="D81" s="60">
        <f>B81*C81</f>
        <v>15.32</v>
      </c>
      <c r="E81">
        <v>2</v>
      </c>
      <c r="F81" s="60">
        <f>D81*E81</f>
        <v>30.64</v>
      </c>
    </row>
    <row r="82" spans="1:6" x14ac:dyDescent="0.15">
      <c r="A82" s="61" t="s">
        <v>1103</v>
      </c>
      <c r="B82">
        <f>11.14+(6*1.31)</f>
        <v>19</v>
      </c>
      <c r="C82">
        <v>1</v>
      </c>
      <c r="D82" s="60">
        <f>B82*C82</f>
        <v>19</v>
      </c>
      <c r="E82">
        <v>2</v>
      </c>
      <c r="F82" s="60">
        <f>D82*E82</f>
        <v>38</v>
      </c>
    </row>
    <row r="84" spans="1:6" x14ac:dyDescent="0.15">
      <c r="A84" s="60" t="s">
        <v>1109</v>
      </c>
    </row>
    <row r="85" spans="1:6" x14ac:dyDescent="0.15">
      <c r="A85" s="61" t="s">
        <v>1102</v>
      </c>
      <c r="B85">
        <v>6.75</v>
      </c>
      <c r="C85">
        <v>1</v>
      </c>
      <c r="D85" s="60">
        <f>B85*C85</f>
        <v>6.75</v>
      </c>
      <c r="E85">
        <v>1</v>
      </c>
      <c r="F85" s="60">
        <f>D85*E85</f>
        <v>6.75</v>
      </c>
    </row>
    <row r="86" spans="1:6" x14ac:dyDescent="0.15">
      <c r="A86" s="61" t="s">
        <v>1103</v>
      </c>
      <c r="B86">
        <v>3.4</v>
      </c>
      <c r="C86">
        <v>1</v>
      </c>
      <c r="D86" s="60">
        <f>B86*C86</f>
        <v>3.4</v>
      </c>
      <c r="E86">
        <v>1</v>
      </c>
      <c r="F86" s="60">
        <f>D86*E86</f>
        <v>3.4</v>
      </c>
    </row>
    <row r="88" spans="1:6" x14ac:dyDescent="0.15">
      <c r="A88" s="60" t="s">
        <v>1110</v>
      </c>
    </row>
    <row r="89" spans="1:6" x14ac:dyDescent="0.15">
      <c r="A89" s="61" t="s">
        <v>1102</v>
      </c>
      <c r="B89">
        <v>6.75</v>
      </c>
      <c r="C89">
        <v>1</v>
      </c>
      <c r="D89" s="60">
        <f>B89*C89</f>
        <v>6.75</v>
      </c>
      <c r="E89">
        <v>1</v>
      </c>
      <c r="F89" s="60">
        <f>D89*E89</f>
        <v>6.75</v>
      </c>
    </row>
    <row r="90" spans="1:6" x14ac:dyDescent="0.15">
      <c r="A90" s="61" t="s">
        <v>1103</v>
      </c>
      <c r="B90">
        <v>3.4</v>
      </c>
      <c r="C90">
        <v>1</v>
      </c>
      <c r="D90" s="60">
        <f>B90*C90</f>
        <v>3.4</v>
      </c>
      <c r="E90">
        <v>1</v>
      </c>
      <c r="F90" s="60">
        <f>D90*E90</f>
        <v>3.4</v>
      </c>
    </row>
    <row r="92" spans="1:6" x14ac:dyDescent="0.15">
      <c r="A92" s="60" t="s">
        <v>1096</v>
      </c>
    </row>
    <row r="94" spans="1:6" x14ac:dyDescent="0.15">
      <c r="A94" t="s">
        <v>1092</v>
      </c>
    </row>
    <row r="95" spans="1:6" x14ac:dyDescent="0.15">
      <c r="A95" t="s">
        <v>1093</v>
      </c>
    </row>
    <row r="96" spans="1:6" x14ac:dyDescent="0.15">
      <c r="A96" t="s">
        <v>1094</v>
      </c>
    </row>
    <row r="97" spans="1:1" x14ac:dyDescent="0.15">
      <c r="A97" t="s">
        <v>1095</v>
      </c>
    </row>
  </sheetData>
  <pageMargins left="0.7" right="0.7" top="0.75" bottom="0.75" header="0.3" footer="0.3"/>
  <pageSetup orientation="portrait" horizontalDpi="0" verticalDpi="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D1FAF-E41E-4CB0-95DA-0632DDD6FE55}">
  <sheetPr codeName="Sheet92"/>
  <dimension ref="A1:H46"/>
  <sheetViews>
    <sheetView topLeftCell="A13" workbookViewId="0">
      <selection activeCell="D46" sqref="D46"/>
    </sheetView>
  </sheetViews>
  <sheetFormatPr baseColWidth="10" defaultColWidth="8.83203125" defaultRowHeight="13" x14ac:dyDescent="0.15"/>
  <cols>
    <col min="1" max="1" width="28" customWidth="1"/>
    <col min="3" max="3" width="12" customWidth="1"/>
  </cols>
  <sheetData>
    <row r="1" spans="1:8" x14ac:dyDescent="0.15">
      <c r="A1" t="s">
        <v>19</v>
      </c>
      <c r="B1" t="s">
        <v>1063</v>
      </c>
      <c r="C1" t="s">
        <v>1065</v>
      </c>
      <c r="D1" t="s">
        <v>1068</v>
      </c>
    </row>
    <row r="2" spans="1:8" x14ac:dyDescent="0.15">
      <c r="A2" t="s">
        <v>1064</v>
      </c>
      <c r="B2">
        <v>79.58</v>
      </c>
      <c r="C2">
        <v>6</v>
      </c>
      <c r="D2" s="415">
        <f>B2*C2</f>
        <v>477.48</v>
      </c>
    </row>
    <row r="3" spans="1:8" x14ac:dyDescent="0.15">
      <c r="A3" t="s">
        <v>1066</v>
      </c>
      <c r="B3">
        <f>10.25+9+5.25+17.6+2+8.5+(4*2.7)+1.5</f>
        <v>64.900000000000006</v>
      </c>
      <c r="C3">
        <v>6</v>
      </c>
      <c r="D3" s="415">
        <f t="shared" ref="D3:D4" si="0">B3*C3</f>
        <v>389.40000000000003</v>
      </c>
      <c r="F3">
        <f>B4+B3</f>
        <v>197.93</v>
      </c>
    </row>
    <row r="4" spans="1:8" x14ac:dyDescent="0.15">
      <c r="A4" t="s">
        <v>1067</v>
      </c>
      <c r="B4">
        <f>12.17+21.4+15.3+8.5+16.2+24.2+35.26</f>
        <v>133.03</v>
      </c>
      <c r="C4">
        <v>2</v>
      </c>
      <c r="D4" s="415">
        <f t="shared" si="0"/>
        <v>266.06</v>
      </c>
    </row>
    <row r="7" spans="1:8" x14ac:dyDescent="0.15">
      <c r="A7" t="s">
        <v>1069</v>
      </c>
    </row>
    <row r="8" spans="1:8" x14ac:dyDescent="0.15">
      <c r="A8" t="s">
        <v>1064</v>
      </c>
      <c r="B8">
        <f>B2*2</f>
        <v>159.16</v>
      </c>
      <c r="C8">
        <v>6</v>
      </c>
      <c r="D8" s="415">
        <f>B8*C8</f>
        <v>954.96</v>
      </c>
    </row>
    <row r="9" spans="1:8" x14ac:dyDescent="0.15">
      <c r="A9" t="s">
        <v>1066</v>
      </c>
      <c r="B9">
        <f>B3*2</f>
        <v>129.80000000000001</v>
      </c>
      <c r="C9">
        <v>6</v>
      </c>
      <c r="D9" s="415">
        <f>B9*C9</f>
        <v>778.80000000000007</v>
      </c>
    </row>
    <row r="10" spans="1:8" x14ac:dyDescent="0.15">
      <c r="A10" t="s">
        <v>1070</v>
      </c>
      <c r="B10">
        <f>B4*2</f>
        <v>266.06</v>
      </c>
      <c r="C10">
        <v>2</v>
      </c>
      <c r="D10" s="415">
        <f>B10*C10</f>
        <v>532.12</v>
      </c>
    </row>
    <row r="11" spans="1:8" x14ac:dyDescent="0.15">
      <c r="B11" t="s">
        <v>1072</v>
      </c>
      <c r="C11" s="59" t="s">
        <v>1073</v>
      </c>
      <c r="D11" t="s">
        <v>1074</v>
      </c>
    </row>
    <row r="12" spans="1:8" x14ac:dyDescent="0.15">
      <c r="A12" t="s">
        <v>1071</v>
      </c>
      <c r="B12">
        <f>40.3+30.1+53+15</f>
        <v>138.4</v>
      </c>
      <c r="C12">
        <v>0.1</v>
      </c>
      <c r="D12" s="415">
        <f>B12*C12</f>
        <v>13.840000000000002</v>
      </c>
      <c r="F12">
        <v>85.21</v>
      </c>
      <c r="G12">
        <v>0.1</v>
      </c>
      <c r="H12" s="415">
        <f>F12*G12</f>
        <v>8.520999999999999</v>
      </c>
    </row>
    <row r="13" spans="1:8" x14ac:dyDescent="0.15">
      <c r="B13" t="s">
        <v>1075</v>
      </c>
      <c r="C13" t="s">
        <v>1076</v>
      </c>
    </row>
    <row r="14" spans="1:8" x14ac:dyDescent="0.15">
      <c r="A14" t="s">
        <v>310</v>
      </c>
      <c r="B14" s="97">
        <f>3.1416*(0.005^2)*6*7850</f>
        <v>3.6992340000000006</v>
      </c>
      <c r="C14" s="427">
        <f>B14*B12</f>
        <v>511.97398560000011</v>
      </c>
      <c r="F14">
        <f>F12+B18</f>
        <v>209.86</v>
      </c>
    </row>
    <row r="15" spans="1:8" x14ac:dyDescent="0.15">
      <c r="A15" t="s">
        <v>1077</v>
      </c>
      <c r="C15" s="427">
        <f>2%*C14</f>
        <v>10.239479712000003</v>
      </c>
    </row>
    <row r="18" spans="1:6" x14ac:dyDescent="0.15">
      <c r="A18" t="s">
        <v>1083</v>
      </c>
      <c r="B18">
        <v>124.65</v>
      </c>
      <c r="C18">
        <v>0.1</v>
      </c>
      <c r="D18" s="415">
        <f>B18*C18</f>
        <v>12.465000000000002</v>
      </c>
    </row>
    <row r="19" spans="1:6" x14ac:dyDescent="0.15">
      <c r="E19" s="415">
        <f>D18+H12</f>
        <v>20.986000000000001</v>
      </c>
      <c r="F19">
        <f>F14*B14</f>
        <v>776.32124724000016</v>
      </c>
    </row>
    <row r="21" spans="1:6" x14ac:dyDescent="0.15">
      <c r="A21" s="61" t="s">
        <v>1130</v>
      </c>
    </row>
    <row r="23" spans="1:6" x14ac:dyDescent="0.15">
      <c r="A23" s="61" t="s">
        <v>311</v>
      </c>
      <c r="B23">
        <v>54</v>
      </c>
      <c r="C23">
        <f>7850*3.1416*(0.006^2)</f>
        <v>0.88781616000000008</v>
      </c>
      <c r="D23" s="415">
        <f>B23*C23</f>
        <v>47.942072640000006</v>
      </c>
    </row>
    <row r="24" spans="1:6" x14ac:dyDescent="0.15">
      <c r="A24" s="61" t="s">
        <v>310</v>
      </c>
      <c r="B24">
        <v>48</v>
      </c>
      <c r="C24">
        <f>7850*3.1416*(0.005^2)</f>
        <v>0.61653900000000006</v>
      </c>
      <c r="D24" s="415">
        <f>B24*C24</f>
        <v>29.593872000000005</v>
      </c>
    </row>
    <row r="27" spans="1:6" x14ac:dyDescent="0.15">
      <c r="A27" t="s">
        <v>1183</v>
      </c>
      <c r="B27" s="97"/>
    </row>
    <row r="28" spans="1:6" x14ac:dyDescent="0.15">
      <c r="A28">
        <v>130.14500000000001</v>
      </c>
      <c r="B28">
        <v>6.85</v>
      </c>
      <c r="C28">
        <f>B28*A28</f>
        <v>891.49324999999999</v>
      </c>
    </row>
    <row r="31" spans="1:6" x14ac:dyDescent="0.15">
      <c r="B31">
        <v>207.65</v>
      </c>
      <c r="C31">
        <f>7850*3.1416*(0.005^2)</f>
        <v>0.61653900000000006</v>
      </c>
      <c r="D31" s="415">
        <f>B31*C31</f>
        <v>128.02432335</v>
      </c>
    </row>
    <row r="35" spans="1:4" x14ac:dyDescent="0.15">
      <c r="A35" t="s">
        <v>1470</v>
      </c>
      <c r="B35">
        <f>9*2</f>
        <v>18</v>
      </c>
      <c r="C35" t="s">
        <v>1471</v>
      </c>
      <c r="D35" t="s">
        <v>1472</v>
      </c>
    </row>
    <row r="36" spans="1:4" x14ac:dyDescent="0.15">
      <c r="B36">
        <f>18*25</f>
        <v>450</v>
      </c>
    </row>
    <row r="40" spans="1:4" ht="14" x14ac:dyDescent="0.15">
      <c r="A40" s="518" t="s">
        <v>1482</v>
      </c>
    </row>
    <row r="41" spans="1:4" ht="14" x14ac:dyDescent="0.15">
      <c r="A41" s="518" t="s">
        <v>1483</v>
      </c>
    </row>
    <row r="42" spans="1:4" ht="14" x14ac:dyDescent="0.15">
      <c r="A42" s="518"/>
    </row>
    <row r="43" spans="1:4" ht="14" x14ac:dyDescent="0.15">
      <c r="A43" s="518" t="s">
        <v>1484</v>
      </c>
    </row>
    <row r="46" spans="1:4" x14ac:dyDescent="0.15">
      <c r="A46" t="s">
        <v>1485</v>
      </c>
      <c r="B46">
        <f>40.91+6+6</f>
        <v>52.91</v>
      </c>
    </row>
  </sheetData>
  <pageMargins left="0.7" right="0.7" top="0.75" bottom="0.75" header="0.3" footer="0.3"/>
  <pageSetup paperSize="9" orientation="portrait" horizontalDpi="0" verticalDpi="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3"/>
  <dimension ref="A2:S187"/>
  <sheetViews>
    <sheetView zoomScale="85" zoomScaleNormal="85" workbookViewId="0">
      <selection activeCell="M159" sqref="M159"/>
    </sheetView>
  </sheetViews>
  <sheetFormatPr baseColWidth="10" defaultColWidth="8.83203125" defaultRowHeight="13" x14ac:dyDescent="0.15"/>
  <cols>
    <col min="1" max="5" width="10.6640625" style="380" customWidth="1"/>
    <col min="6" max="6" width="10.6640625" customWidth="1"/>
    <col min="7" max="7" width="25.6640625" customWidth="1"/>
    <col min="8" max="8" width="61.83203125" customWidth="1"/>
    <col min="9" max="9" width="15.6640625" customWidth="1"/>
    <col min="10" max="15" width="10.6640625" customWidth="1"/>
    <col min="17" max="18" width="10.6640625" customWidth="1"/>
  </cols>
  <sheetData>
    <row r="2" spans="1:19" x14ac:dyDescent="0.15">
      <c r="A2" s="381"/>
      <c r="B2" s="846" t="s">
        <v>894</v>
      </c>
      <c r="C2" s="846" t="s">
        <v>895</v>
      </c>
      <c r="D2" s="846" t="s">
        <v>743</v>
      </c>
      <c r="E2" s="846"/>
      <c r="F2" s="844" t="s">
        <v>118</v>
      </c>
      <c r="G2" s="844"/>
      <c r="H2" s="844"/>
      <c r="I2" s="844"/>
      <c r="J2" s="844" t="s">
        <v>899</v>
      </c>
      <c r="K2" s="844"/>
      <c r="L2" s="352"/>
      <c r="M2" s="352"/>
      <c r="N2" s="352"/>
      <c r="O2" s="352"/>
    </row>
    <row r="3" spans="1:19" ht="25.5" customHeight="1" x14ac:dyDescent="0.15">
      <c r="A3" s="845"/>
      <c r="B3" s="846"/>
      <c r="C3" s="846"/>
      <c r="D3" s="847" t="s">
        <v>897</v>
      </c>
      <c r="E3" s="846" t="s">
        <v>898</v>
      </c>
      <c r="F3" s="844" t="s">
        <v>896</v>
      </c>
      <c r="G3" s="844"/>
      <c r="H3" s="844"/>
      <c r="I3" s="844" t="s">
        <v>743</v>
      </c>
      <c r="J3" s="848" t="s">
        <v>911</v>
      </c>
      <c r="K3" s="848" t="s">
        <v>900</v>
      </c>
      <c r="L3" s="848" t="s">
        <v>919</v>
      </c>
      <c r="M3" s="848" t="s">
        <v>914</v>
      </c>
      <c r="N3" s="848" t="s">
        <v>915</v>
      </c>
      <c r="O3" s="848" t="s">
        <v>920</v>
      </c>
    </row>
    <row r="4" spans="1:19" ht="25.5" customHeight="1" x14ac:dyDescent="0.15">
      <c r="A4" s="845"/>
      <c r="B4" s="846"/>
      <c r="C4" s="846"/>
      <c r="D4" s="847"/>
      <c r="E4" s="846"/>
      <c r="F4" s="844" t="s">
        <v>902</v>
      </c>
      <c r="G4" s="844" t="s">
        <v>903</v>
      </c>
      <c r="H4" s="358" t="s">
        <v>906</v>
      </c>
      <c r="I4" s="844"/>
      <c r="J4" s="848"/>
      <c r="K4" s="848"/>
      <c r="L4" s="848"/>
      <c r="M4" s="848"/>
      <c r="N4" s="848"/>
      <c r="O4" s="848"/>
    </row>
    <row r="5" spans="1:19" ht="14" thickBot="1" x14ac:dyDescent="0.2">
      <c r="A5" s="845"/>
      <c r="B5" s="846"/>
      <c r="C5" s="846"/>
      <c r="D5" s="847"/>
      <c r="E5" s="846"/>
      <c r="F5" s="844"/>
      <c r="G5" s="844"/>
      <c r="H5" s="352" t="s">
        <v>909</v>
      </c>
      <c r="I5" s="844"/>
      <c r="J5" s="848"/>
      <c r="K5" s="848"/>
      <c r="L5" s="848"/>
      <c r="M5" s="848"/>
      <c r="N5" s="848"/>
      <c r="O5" s="848"/>
      <c r="Q5" s="359" t="s">
        <v>913</v>
      </c>
      <c r="R5" s="360" t="s">
        <v>912</v>
      </c>
    </row>
    <row r="6" spans="1:19" x14ac:dyDescent="0.15">
      <c r="A6" s="382" t="s">
        <v>893</v>
      </c>
      <c r="B6" s="372">
        <v>36.26</v>
      </c>
      <c r="C6" s="372">
        <f t="shared" ref="C6:C12" si="0">+B6*2</f>
        <v>72.52</v>
      </c>
      <c r="D6" s="372">
        <f>+J6-E6</f>
        <v>379.74</v>
      </c>
      <c r="E6" s="372">
        <f>172.8+12.96</f>
        <v>185.76000000000002</v>
      </c>
      <c r="F6" s="372">
        <f t="shared" ref="F6:F12" si="1">+B6</f>
        <v>36.26</v>
      </c>
      <c r="G6" s="372">
        <f>271.68+73.02+284.34+64.5</f>
        <v>693.54</v>
      </c>
      <c r="H6" s="368">
        <v>0</v>
      </c>
      <c r="I6" s="372">
        <f t="shared" ref="I6:I12" si="2">+E6</f>
        <v>185.76000000000002</v>
      </c>
      <c r="J6" s="372">
        <f>517.5+48</f>
        <v>565.5</v>
      </c>
      <c r="K6" s="372">
        <v>90</v>
      </c>
      <c r="L6" s="372">
        <v>102.06</v>
      </c>
      <c r="M6" s="372">
        <v>0</v>
      </c>
      <c r="N6" s="372">
        <v>0</v>
      </c>
      <c r="O6" s="372">
        <v>70</v>
      </c>
      <c r="Q6" s="361">
        <v>9</v>
      </c>
      <c r="R6" s="362">
        <v>0</v>
      </c>
    </row>
    <row r="7" spans="1:19" x14ac:dyDescent="0.15">
      <c r="A7" s="383" t="s">
        <v>910</v>
      </c>
      <c r="B7" s="373">
        <v>62.22</v>
      </c>
      <c r="C7" s="373">
        <f t="shared" si="0"/>
        <v>124.44</v>
      </c>
      <c r="D7" s="372">
        <f>+J7-E7</f>
        <v>237.6</v>
      </c>
      <c r="E7" s="372">
        <f>116.64+58.32+19.44</f>
        <v>194.4</v>
      </c>
      <c r="F7" s="373">
        <f t="shared" si="1"/>
        <v>62.22</v>
      </c>
      <c r="G7" s="373">
        <f>265.28+145.44+59.04</f>
        <v>469.76</v>
      </c>
      <c r="H7" s="369">
        <v>0</v>
      </c>
      <c r="I7" s="372">
        <f t="shared" si="2"/>
        <v>194.4</v>
      </c>
      <c r="J7" s="373">
        <f>252+126+54</f>
        <v>432</v>
      </c>
      <c r="K7" s="373">
        <v>63</v>
      </c>
      <c r="L7" s="373">
        <v>79.38</v>
      </c>
      <c r="M7" s="373">
        <v>0</v>
      </c>
      <c r="N7" s="373">
        <v>0</v>
      </c>
      <c r="O7" s="373">
        <v>50</v>
      </c>
      <c r="Q7" s="361">
        <v>7</v>
      </c>
      <c r="R7" s="362">
        <v>0</v>
      </c>
    </row>
    <row r="8" spans="1:19" x14ac:dyDescent="0.15">
      <c r="A8" s="384" t="s">
        <v>904</v>
      </c>
      <c r="B8" s="372">
        <f>70.15+1</f>
        <v>71.150000000000006</v>
      </c>
      <c r="C8" s="372">
        <f t="shared" si="0"/>
        <v>142.30000000000001</v>
      </c>
      <c r="D8" s="372">
        <f>289.8+58.5+62.1</f>
        <v>410.40000000000003</v>
      </c>
      <c r="E8" s="372">
        <f>151.2+36+32.4</f>
        <v>219.6</v>
      </c>
      <c r="F8" s="372">
        <f t="shared" si="1"/>
        <v>71.150000000000006</v>
      </c>
      <c r="G8" s="372">
        <f>198.96+132.64+132.64+85.04+82.88</f>
        <v>632.16</v>
      </c>
      <c r="H8" s="368">
        <v>0</v>
      </c>
      <c r="I8" s="372">
        <f t="shared" si="2"/>
        <v>219.6</v>
      </c>
      <c r="J8" s="372">
        <f>+D8+E8-8.28</f>
        <v>621.72</v>
      </c>
      <c r="K8" s="372">
        <v>72</v>
      </c>
      <c r="L8" s="372">
        <v>102.06</v>
      </c>
      <c r="M8" s="372">
        <v>3.2</v>
      </c>
      <c r="N8" s="372">
        <f>3.2+0.8</f>
        <v>4</v>
      </c>
      <c r="O8" s="372">
        <v>56</v>
      </c>
      <c r="Q8" s="361">
        <v>7</v>
      </c>
      <c r="R8" s="362">
        <v>2</v>
      </c>
    </row>
    <row r="9" spans="1:19" x14ac:dyDescent="0.15">
      <c r="A9" s="385" t="s">
        <v>905</v>
      </c>
      <c r="B9" s="372">
        <f>81.06+2</f>
        <v>83.06</v>
      </c>
      <c r="C9" s="372">
        <f t="shared" si="0"/>
        <v>166.12</v>
      </c>
      <c r="D9" s="372">
        <f>+J9-E9</f>
        <v>338.4</v>
      </c>
      <c r="E9" s="372">
        <v>291.60000000000002</v>
      </c>
      <c r="F9" s="372">
        <f t="shared" si="1"/>
        <v>83.06</v>
      </c>
      <c r="G9" s="372">
        <f>530.56+132.64</f>
        <v>663.19999999999993</v>
      </c>
      <c r="H9" s="368">
        <v>0</v>
      </c>
      <c r="I9" s="372">
        <f t="shared" si="2"/>
        <v>291.60000000000002</v>
      </c>
      <c r="J9" s="372">
        <v>630</v>
      </c>
      <c r="K9" s="372">
        <v>90</v>
      </c>
      <c r="L9" s="372">
        <v>113.4</v>
      </c>
      <c r="M9" s="372">
        <v>0</v>
      </c>
      <c r="N9" s="372">
        <v>0</v>
      </c>
      <c r="O9" s="372">
        <v>70</v>
      </c>
      <c r="Q9" s="361">
        <v>10</v>
      </c>
      <c r="R9" s="362">
        <v>0</v>
      </c>
    </row>
    <row r="10" spans="1:19" x14ac:dyDescent="0.15">
      <c r="A10" s="386" t="s">
        <v>907</v>
      </c>
      <c r="B10" s="372">
        <v>34.049999999999997</v>
      </c>
      <c r="C10" s="372">
        <f t="shared" si="0"/>
        <v>68.099999999999994</v>
      </c>
      <c r="D10" s="372">
        <f>+J10-E10</f>
        <v>247.56</v>
      </c>
      <c r="E10" s="372">
        <v>100.8</v>
      </c>
      <c r="F10" s="372">
        <f t="shared" si="1"/>
        <v>34.049999999999997</v>
      </c>
      <c r="G10" s="372">
        <f>30.96+68.76+103.92+104.4</f>
        <v>308.03999999999996</v>
      </c>
      <c r="H10" s="372">
        <f>29.88+14.76+20.7</f>
        <v>65.34</v>
      </c>
      <c r="I10" s="372">
        <f t="shared" si="2"/>
        <v>100.8</v>
      </c>
      <c r="J10" s="372">
        <v>348.36</v>
      </c>
      <c r="K10" s="372">
        <v>20.64</v>
      </c>
      <c r="L10" s="372">
        <v>45.36</v>
      </c>
      <c r="M10" s="372">
        <v>0</v>
      </c>
      <c r="N10" s="372">
        <v>0</v>
      </c>
      <c r="O10" s="372">
        <v>34.200000000000003</v>
      </c>
      <c r="Q10" s="361">
        <v>4</v>
      </c>
      <c r="R10" s="362">
        <v>0</v>
      </c>
    </row>
    <row r="11" spans="1:19" x14ac:dyDescent="0.15">
      <c r="A11" s="386" t="s">
        <v>907</v>
      </c>
      <c r="B11" s="372">
        <v>34.049999999999997</v>
      </c>
      <c r="C11" s="372">
        <f>+B11*2</f>
        <v>68.099999999999994</v>
      </c>
      <c r="D11" s="372">
        <v>0</v>
      </c>
      <c r="E11" s="372">
        <v>0</v>
      </c>
      <c r="F11" s="372">
        <f>+B11</f>
        <v>34.049999999999997</v>
      </c>
      <c r="G11" s="372">
        <f>+B11</f>
        <v>34.049999999999997</v>
      </c>
      <c r="H11" s="372">
        <f>29.88+14.76+20.7</f>
        <v>65.34</v>
      </c>
      <c r="I11" s="372">
        <f>+E11</f>
        <v>0</v>
      </c>
      <c r="J11" s="372">
        <v>348.36</v>
      </c>
      <c r="K11" s="372">
        <v>20.64</v>
      </c>
      <c r="L11" s="372">
        <v>45.36</v>
      </c>
      <c r="M11" s="372">
        <v>0</v>
      </c>
      <c r="N11" s="372">
        <v>0</v>
      </c>
      <c r="O11" s="372">
        <v>34.200000000000003</v>
      </c>
      <c r="Q11" s="361">
        <v>4</v>
      </c>
      <c r="R11" s="362">
        <v>0</v>
      </c>
    </row>
    <row r="12" spans="1:19" ht="14" thickBot="1" x14ac:dyDescent="0.2">
      <c r="A12" s="387" t="s">
        <v>908</v>
      </c>
      <c r="B12" s="372">
        <f>3.27+1</f>
        <v>4.2699999999999996</v>
      </c>
      <c r="C12" s="372">
        <f t="shared" si="0"/>
        <v>8.5399999999999991</v>
      </c>
      <c r="D12" s="372">
        <f>+J12-E12</f>
        <v>43.2</v>
      </c>
      <c r="E12" s="372">
        <v>28.8</v>
      </c>
      <c r="F12" s="372">
        <f t="shared" si="1"/>
        <v>4.2699999999999996</v>
      </c>
      <c r="G12" s="372">
        <v>90.54</v>
      </c>
      <c r="H12" s="368">
        <v>0</v>
      </c>
      <c r="I12" s="372">
        <f t="shared" si="2"/>
        <v>28.8</v>
      </c>
      <c r="J12" s="372">
        <v>72</v>
      </c>
      <c r="K12" s="372">
        <v>9.48</v>
      </c>
      <c r="L12" s="372">
        <v>11.34</v>
      </c>
      <c r="M12" s="372">
        <v>0</v>
      </c>
      <c r="N12" s="372">
        <v>0</v>
      </c>
      <c r="O12" s="372">
        <v>6</v>
      </c>
      <c r="Q12" s="363">
        <v>1</v>
      </c>
      <c r="R12" s="364">
        <v>0</v>
      </c>
    </row>
    <row r="13" spans="1:19" x14ac:dyDescent="0.15">
      <c r="Q13" s="365">
        <f>SUM(Q6:Q12)</f>
        <v>42</v>
      </c>
      <c r="R13" s="366">
        <f>SUM(R6:R12)</f>
        <v>2</v>
      </c>
      <c r="S13" s="367">
        <f>+R13+Q13</f>
        <v>44</v>
      </c>
    </row>
    <row r="16" spans="1:19" x14ac:dyDescent="0.15">
      <c r="A16" s="388" t="s">
        <v>418</v>
      </c>
    </row>
    <row r="17" spans="1:6" x14ac:dyDescent="0.15">
      <c r="A17" s="388"/>
    </row>
    <row r="18" spans="1:6" x14ac:dyDescent="0.15">
      <c r="A18" s="389">
        <f>35.2+49.6</f>
        <v>84.800000000000011</v>
      </c>
      <c r="B18" s="389">
        <v>0.15</v>
      </c>
      <c r="C18" s="389">
        <v>0.2</v>
      </c>
      <c r="D18" s="389">
        <v>1</v>
      </c>
      <c r="E18" s="389">
        <f>+A18*B18*C18*D18</f>
        <v>2.5440000000000005</v>
      </c>
    </row>
    <row r="19" spans="1:6" x14ac:dyDescent="0.15">
      <c r="A19" s="389">
        <f>+A18</f>
        <v>84.800000000000011</v>
      </c>
      <c r="B19" s="389">
        <v>4</v>
      </c>
      <c r="C19" s="389">
        <v>0.89</v>
      </c>
      <c r="D19" s="389">
        <v>1</v>
      </c>
      <c r="E19" s="389">
        <f>+A19*B19*C19*D19</f>
        <v>301.88800000000003</v>
      </c>
    </row>
    <row r="20" spans="1:6" x14ac:dyDescent="0.15">
      <c r="A20" s="389">
        <v>566</v>
      </c>
      <c r="B20" s="389">
        <v>0.8</v>
      </c>
      <c r="C20" s="389">
        <v>0.62</v>
      </c>
      <c r="D20" s="389">
        <v>1</v>
      </c>
      <c r="E20" s="389">
        <f>+A20*B20*C20*D20</f>
        <v>280.73599999999999</v>
      </c>
    </row>
    <row r="22" spans="1:6" x14ac:dyDescent="0.15">
      <c r="A22" s="390">
        <v>10</v>
      </c>
      <c r="B22" s="390">
        <v>0.15</v>
      </c>
      <c r="C22" s="390">
        <v>0.2</v>
      </c>
      <c r="D22" s="390">
        <v>1</v>
      </c>
      <c r="E22" s="390">
        <f>+A22*B22*C22*D22</f>
        <v>0.30000000000000004</v>
      </c>
    </row>
    <row r="23" spans="1:6" x14ac:dyDescent="0.15">
      <c r="A23" s="390">
        <v>10</v>
      </c>
      <c r="B23" s="390">
        <v>4</v>
      </c>
      <c r="C23" s="390">
        <v>0.89</v>
      </c>
      <c r="D23" s="390">
        <v>1</v>
      </c>
      <c r="E23" s="390">
        <f>+A23*B23*C23*D23</f>
        <v>35.6</v>
      </c>
    </row>
    <row r="24" spans="1:6" x14ac:dyDescent="0.15">
      <c r="A24" s="390">
        <v>67</v>
      </c>
      <c r="B24" s="390">
        <v>0.8</v>
      </c>
      <c r="C24" s="390">
        <v>0.62</v>
      </c>
      <c r="D24" s="390">
        <f>+D23</f>
        <v>1</v>
      </c>
      <c r="E24" s="390">
        <f>+A24*B24*C24*D24</f>
        <v>33.231999999999999</v>
      </c>
    </row>
    <row r="26" spans="1:6" x14ac:dyDescent="0.15">
      <c r="A26" s="391">
        <v>9.1999999999999993</v>
      </c>
      <c r="B26" s="391">
        <v>0.6</v>
      </c>
      <c r="C26" s="391">
        <v>0.3</v>
      </c>
      <c r="D26" s="391">
        <v>1</v>
      </c>
      <c r="E26" s="391">
        <f t="shared" ref="E26:E33" si="3">+A26*B26*C26*D26</f>
        <v>1.6559999999999999</v>
      </c>
      <c r="F26" t="s">
        <v>916</v>
      </c>
    </row>
    <row r="27" spans="1:6" x14ac:dyDescent="0.15">
      <c r="A27" s="391">
        <f>+A26</f>
        <v>9.1999999999999993</v>
      </c>
      <c r="B27" s="391">
        <f>+B26-B29</f>
        <v>0.44999999999999996</v>
      </c>
      <c r="C27" s="391">
        <v>0.3</v>
      </c>
      <c r="D27" s="391">
        <v>1</v>
      </c>
      <c r="E27" s="391">
        <f t="shared" si="3"/>
        <v>1.2419999999999998</v>
      </c>
      <c r="F27" t="s">
        <v>917</v>
      </c>
    </row>
    <row r="28" spans="1:6" x14ac:dyDescent="0.15">
      <c r="A28" s="391">
        <f>+A27</f>
        <v>9.1999999999999993</v>
      </c>
      <c r="B28" s="391">
        <v>0.05</v>
      </c>
      <c r="C28" s="391">
        <v>0.3</v>
      </c>
      <c r="D28" s="391">
        <v>1</v>
      </c>
      <c r="E28" s="391">
        <f t="shared" si="3"/>
        <v>0.13799999999999998</v>
      </c>
      <c r="F28" t="s">
        <v>918</v>
      </c>
    </row>
    <row r="29" spans="1:6" x14ac:dyDescent="0.15">
      <c r="A29" s="392">
        <f>+A28</f>
        <v>9.1999999999999993</v>
      </c>
      <c r="B29" s="392">
        <v>0.15</v>
      </c>
      <c r="C29" s="392">
        <v>0.3</v>
      </c>
      <c r="D29" s="392">
        <v>1</v>
      </c>
      <c r="E29" s="392">
        <f t="shared" si="3"/>
        <v>0.41399999999999998</v>
      </c>
    </row>
    <row r="30" spans="1:6" x14ac:dyDescent="0.15">
      <c r="A30" s="392">
        <f>+A29</f>
        <v>9.1999999999999993</v>
      </c>
      <c r="B30" s="392">
        <v>3</v>
      </c>
      <c r="C30" s="392">
        <v>0.62</v>
      </c>
      <c r="D30" s="392">
        <v>1</v>
      </c>
      <c r="E30" s="392">
        <f t="shared" si="3"/>
        <v>17.111999999999998</v>
      </c>
    </row>
    <row r="31" spans="1:6" x14ac:dyDescent="0.15">
      <c r="A31" s="392">
        <v>30</v>
      </c>
      <c r="B31" s="392">
        <v>0.3</v>
      </c>
      <c r="C31" s="392">
        <v>0.62</v>
      </c>
      <c r="D31" s="392">
        <v>1</v>
      </c>
      <c r="E31" s="392">
        <f t="shared" si="3"/>
        <v>5.58</v>
      </c>
    </row>
    <row r="32" spans="1:6" x14ac:dyDescent="0.15">
      <c r="A32" s="392">
        <v>8</v>
      </c>
      <c r="B32" s="392">
        <v>2</v>
      </c>
      <c r="C32" s="392">
        <v>0.62</v>
      </c>
      <c r="D32" s="392">
        <v>1</v>
      </c>
      <c r="E32" s="392">
        <f t="shared" si="3"/>
        <v>9.92</v>
      </c>
    </row>
    <row r="33" spans="1:5" x14ac:dyDescent="0.15">
      <c r="A33" s="392">
        <v>20</v>
      </c>
      <c r="B33" s="392">
        <v>0.2</v>
      </c>
      <c r="C33" s="392">
        <v>0.62</v>
      </c>
      <c r="D33" s="392">
        <v>1</v>
      </c>
      <c r="E33" s="392">
        <f t="shared" si="3"/>
        <v>2.48</v>
      </c>
    </row>
    <row r="36" spans="1:5" x14ac:dyDescent="0.15">
      <c r="A36" s="388" t="s">
        <v>296</v>
      </c>
    </row>
    <row r="37" spans="1:5" x14ac:dyDescent="0.15">
      <c r="A37" s="380">
        <v>1</v>
      </c>
      <c r="B37" s="380">
        <v>1</v>
      </c>
      <c r="C37" s="380">
        <v>0.8</v>
      </c>
      <c r="D37" s="380">
        <v>6</v>
      </c>
      <c r="E37" s="380">
        <f>+A37*B37*C37*D37*1.1</f>
        <v>5.2800000000000011</v>
      </c>
    </row>
    <row r="38" spans="1:5" x14ac:dyDescent="0.15">
      <c r="A38" s="380">
        <f>+A37</f>
        <v>1</v>
      </c>
      <c r="B38" s="380">
        <f>+B37</f>
        <v>1</v>
      </c>
      <c r="C38" s="380">
        <v>0.2</v>
      </c>
      <c r="D38" s="380">
        <f>+D37</f>
        <v>6</v>
      </c>
      <c r="E38" s="380">
        <f>+A38*B38*C38*D38*1.1</f>
        <v>1.3200000000000003</v>
      </c>
    </row>
    <row r="39" spans="1:5" x14ac:dyDescent="0.15">
      <c r="A39" s="380">
        <v>1</v>
      </c>
      <c r="B39" s="380">
        <v>10</v>
      </c>
      <c r="C39" s="380">
        <v>0.89</v>
      </c>
      <c r="D39" s="388">
        <f>+D38</f>
        <v>6</v>
      </c>
      <c r="E39" s="380">
        <f>+A39*B39*C39*D39</f>
        <v>53.400000000000006</v>
      </c>
    </row>
    <row r="40" spans="1:5" x14ac:dyDescent="0.15">
      <c r="A40" s="380">
        <f>+A38</f>
        <v>1</v>
      </c>
      <c r="B40" s="380">
        <f>+B38</f>
        <v>1</v>
      </c>
      <c r="C40" s="380">
        <v>0.1</v>
      </c>
      <c r="D40" s="380">
        <f>+D38</f>
        <v>6</v>
      </c>
      <c r="E40" s="380">
        <f>+A40*B40*C40*D40*1.1</f>
        <v>0.66000000000000014</v>
      </c>
    </row>
    <row r="42" spans="1:5" x14ac:dyDescent="0.15">
      <c r="A42" s="388" t="s">
        <v>923</v>
      </c>
    </row>
    <row r="43" spans="1:5" x14ac:dyDescent="0.15">
      <c r="A43" s="380">
        <v>21.4</v>
      </c>
      <c r="B43" s="380">
        <v>0.3</v>
      </c>
      <c r="C43" s="380">
        <v>0.6</v>
      </c>
      <c r="D43" s="380">
        <v>1</v>
      </c>
      <c r="E43" s="380">
        <f>+A43*B43*C43*D43*1.1</f>
        <v>4.2371999999999996</v>
      </c>
    </row>
    <row r="44" spans="1:5" x14ac:dyDescent="0.15">
      <c r="A44" s="380">
        <f>+A43</f>
        <v>21.4</v>
      </c>
      <c r="B44" s="380">
        <f>+B43</f>
        <v>0.3</v>
      </c>
      <c r="C44" s="380">
        <v>0.15</v>
      </c>
      <c r="D44" s="380">
        <f>+D43</f>
        <v>1</v>
      </c>
      <c r="E44" s="380">
        <f>+A44*B44*C44*D44*1.1</f>
        <v>1.0592999999999999</v>
      </c>
    </row>
    <row r="45" spans="1:5" x14ac:dyDescent="0.15">
      <c r="A45" s="380">
        <v>27</v>
      </c>
      <c r="B45" s="380">
        <v>3</v>
      </c>
      <c r="C45" s="380">
        <v>0.89</v>
      </c>
      <c r="D45" s="388">
        <f>+D44</f>
        <v>1</v>
      </c>
      <c r="E45" s="380">
        <f>+A45*B45*C45*D45</f>
        <v>72.09</v>
      </c>
    </row>
    <row r="46" spans="1:5" x14ac:dyDescent="0.15">
      <c r="A46" s="380">
        <v>0.3</v>
      </c>
      <c r="B46" s="380">
        <v>110</v>
      </c>
      <c r="C46" s="380">
        <v>0.62</v>
      </c>
      <c r="D46" s="388">
        <f>+D45</f>
        <v>1</v>
      </c>
      <c r="E46" s="380">
        <f>+A46*B46*C46*D46</f>
        <v>20.46</v>
      </c>
    </row>
    <row r="47" spans="1:5" x14ac:dyDescent="0.15">
      <c r="A47" s="380">
        <f>+A44</f>
        <v>21.4</v>
      </c>
      <c r="B47" s="380">
        <f>+B44</f>
        <v>0.3</v>
      </c>
      <c r="C47" s="380">
        <v>0.05</v>
      </c>
      <c r="D47" s="380">
        <f>+D44</f>
        <v>1</v>
      </c>
      <c r="E47" s="380">
        <f>+A47*B47*C47*D47*1.1</f>
        <v>0.35309999999999997</v>
      </c>
    </row>
    <row r="49" spans="1:5" x14ac:dyDescent="0.15">
      <c r="A49" s="388" t="s">
        <v>924</v>
      </c>
    </row>
    <row r="50" spans="1:5" x14ac:dyDescent="0.15">
      <c r="A50" s="380">
        <v>21.6</v>
      </c>
      <c r="B50" s="380">
        <v>0.2</v>
      </c>
      <c r="C50" s="380">
        <v>0.4</v>
      </c>
      <c r="D50" s="380">
        <v>1</v>
      </c>
      <c r="E50" s="380">
        <f>+A50*B50*C50*D50*1.1</f>
        <v>1.9008000000000003</v>
      </c>
    </row>
    <row r="51" spans="1:5" x14ac:dyDescent="0.15">
      <c r="A51" s="380">
        <f>+A50</f>
        <v>21.6</v>
      </c>
      <c r="B51" s="380">
        <f>+B50</f>
        <v>0.2</v>
      </c>
      <c r="C51" s="380">
        <v>0.3</v>
      </c>
      <c r="D51" s="380">
        <f>+D50</f>
        <v>1</v>
      </c>
      <c r="E51" s="380">
        <f>+A51*B51*C51*D51*1.1</f>
        <v>1.4256000000000002</v>
      </c>
    </row>
    <row r="52" spans="1:5" x14ac:dyDescent="0.15">
      <c r="A52" s="380">
        <v>24</v>
      </c>
      <c r="B52" s="380">
        <v>6</v>
      </c>
      <c r="C52" s="380">
        <v>0.89</v>
      </c>
      <c r="D52" s="388">
        <f>+D51</f>
        <v>1</v>
      </c>
      <c r="E52" s="380">
        <f>+A52*B52*C52*D52</f>
        <v>128.16</v>
      </c>
    </row>
    <row r="53" spans="1:5" x14ac:dyDescent="0.15">
      <c r="A53" s="380">
        <v>1</v>
      </c>
      <c r="B53" s="380">
        <v>200</v>
      </c>
      <c r="C53" s="380">
        <v>0.62</v>
      </c>
      <c r="D53" s="388">
        <f>+D52</f>
        <v>1</v>
      </c>
      <c r="E53" s="380">
        <f>+A53*B53*C53*D53</f>
        <v>124</v>
      </c>
    </row>
    <row r="54" spans="1:5" x14ac:dyDescent="0.15">
      <c r="A54" s="380">
        <f>+A51</f>
        <v>21.6</v>
      </c>
      <c r="B54" s="380">
        <f>+B51</f>
        <v>0.2</v>
      </c>
      <c r="C54" s="380">
        <v>0.05</v>
      </c>
      <c r="D54" s="380">
        <f>+D51</f>
        <v>1</v>
      </c>
      <c r="E54" s="380">
        <f>+A54*B54*C54*D54*1.1</f>
        <v>0.23760000000000003</v>
      </c>
    </row>
    <row r="56" spans="1:5" x14ac:dyDescent="0.15">
      <c r="A56" s="388" t="s">
        <v>309</v>
      </c>
    </row>
    <row r="57" spans="1:5" x14ac:dyDescent="0.15">
      <c r="A57" s="380">
        <v>4</v>
      </c>
      <c r="B57" s="380">
        <v>0.3</v>
      </c>
      <c r="C57" s="380">
        <v>0.3</v>
      </c>
      <c r="D57" s="380">
        <f>+D40</f>
        <v>6</v>
      </c>
      <c r="E57" s="380">
        <f>+A57*B57*C57*D57*1.1</f>
        <v>2.3760000000000003</v>
      </c>
    </row>
    <row r="58" spans="1:5" x14ac:dyDescent="0.15">
      <c r="A58" s="380">
        <v>6</v>
      </c>
      <c r="B58" s="380">
        <v>8</v>
      </c>
      <c r="C58" s="380">
        <v>0.89</v>
      </c>
      <c r="D58" s="388">
        <f>+D57</f>
        <v>6</v>
      </c>
      <c r="E58" s="380">
        <f>+A58*B58*C58*D58</f>
        <v>256.32</v>
      </c>
    </row>
    <row r="59" spans="1:5" x14ac:dyDescent="0.15">
      <c r="A59" s="380">
        <v>1.2</v>
      </c>
      <c r="B59" s="380">
        <v>40</v>
      </c>
      <c r="C59" s="380">
        <v>0.62</v>
      </c>
      <c r="D59" s="388">
        <f>+D58</f>
        <v>6</v>
      </c>
      <c r="E59" s="380">
        <f>+A59*B59*C59*D59</f>
        <v>178.56</v>
      </c>
    </row>
    <row r="61" spans="1:5" x14ac:dyDescent="0.15">
      <c r="A61" s="388" t="s">
        <v>927</v>
      </c>
    </row>
    <row r="62" spans="1:5" x14ac:dyDescent="0.15">
      <c r="A62" s="380">
        <f>+A50</f>
        <v>21.6</v>
      </c>
      <c r="B62" s="380">
        <v>0.25</v>
      </c>
      <c r="C62" s="380">
        <v>0.35</v>
      </c>
      <c r="D62" s="380">
        <v>1</v>
      </c>
      <c r="E62" s="380">
        <f>+A62*B62*C62*D62*1.1</f>
        <v>2.0790000000000002</v>
      </c>
    </row>
    <row r="63" spans="1:5" x14ac:dyDescent="0.15">
      <c r="A63" s="380">
        <v>24</v>
      </c>
      <c r="B63" s="380">
        <v>6</v>
      </c>
      <c r="C63" s="380">
        <v>0.89</v>
      </c>
      <c r="D63" s="388">
        <f>+D62</f>
        <v>1</v>
      </c>
      <c r="E63" s="380">
        <f>+A63*B63*C63*D63</f>
        <v>128.16</v>
      </c>
    </row>
    <row r="64" spans="1:5" x14ac:dyDescent="0.15">
      <c r="A64" s="380">
        <v>1.2</v>
      </c>
      <c r="B64" s="380">
        <v>200</v>
      </c>
      <c r="C64" s="380">
        <v>0.62</v>
      </c>
      <c r="D64" s="388">
        <f>+D63</f>
        <v>1</v>
      </c>
      <c r="E64" s="380">
        <f>+A64*B64*C64*D64</f>
        <v>148.80000000000001</v>
      </c>
    </row>
    <row r="66" spans="1:5" x14ac:dyDescent="0.15">
      <c r="A66" s="388" t="s">
        <v>926</v>
      </c>
    </row>
    <row r="67" spans="1:5" x14ac:dyDescent="0.15">
      <c r="A67" s="380">
        <v>31.2</v>
      </c>
      <c r="B67" s="380">
        <v>0.1</v>
      </c>
      <c r="C67" s="380">
        <v>1</v>
      </c>
      <c r="D67" s="380">
        <v>1</v>
      </c>
      <c r="E67" s="380">
        <f>+A67*B67*C67*D67*1.1</f>
        <v>3.4320000000000004</v>
      </c>
    </row>
    <row r="68" spans="1:5" x14ac:dyDescent="0.15">
      <c r="A68" s="380">
        <v>6</v>
      </c>
      <c r="B68" s="380">
        <v>30</v>
      </c>
      <c r="C68" s="380">
        <v>0.62</v>
      </c>
      <c r="D68" s="388">
        <v>1</v>
      </c>
      <c r="E68" s="380">
        <f>+A68*B68*C68*D68</f>
        <v>111.6</v>
      </c>
    </row>
    <row r="69" spans="1:5" x14ac:dyDescent="0.15">
      <c r="A69" s="380">
        <f>+A67</f>
        <v>31.2</v>
      </c>
      <c r="B69" s="380">
        <v>1</v>
      </c>
      <c r="C69" s="380">
        <v>0.2</v>
      </c>
      <c r="D69" s="380">
        <v>1</v>
      </c>
      <c r="E69" s="380">
        <f>+A69*B69*C69*D69*1.2</f>
        <v>7.4879999999999995</v>
      </c>
    </row>
    <row r="70" spans="1:5" x14ac:dyDescent="0.15">
      <c r="A70" s="380">
        <f>+A69</f>
        <v>31.2</v>
      </c>
      <c r="B70" s="380">
        <v>1</v>
      </c>
      <c r="C70" s="380">
        <v>0.05</v>
      </c>
      <c r="D70" s="380">
        <v>1</v>
      </c>
      <c r="E70" s="380">
        <f>+A70*B70*C70*D70*1.2</f>
        <v>1.8719999999999999</v>
      </c>
    </row>
    <row r="72" spans="1:5" x14ac:dyDescent="0.15">
      <c r="A72" s="388" t="s">
        <v>964</v>
      </c>
    </row>
    <row r="73" spans="1:5" x14ac:dyDescent="0.15">
      <c r="A73" s="380">
        <v>3</v>
      </c>
      <c r="B73" s="380">
        <v>0.15</v>
      </c>
      <c r="C73" s="380">
        <v>0.2</v>
      </c>
      <c r="D73" s="380">
        <v>3</v>
      </c>
      <c r="E73" s="380">
        <f>+A73*B73*C73*D73*1.1</f>
        <v>0.29700000000000004</v>
      </c>
    </row>
    <row r="74" spans="1:5" x14ac:dyDescent="0.15">
      <c r="A74" s="380">
        <v>3</v>
      </c>
      <c r="B74" s="380">
        <v>4</v>
      </c>
      <c r="C74" s="380">
        <v>0.89</v>
      </c>
      <c r="D74" s="388">
        <f>+D73</f>
        <v>3</v>
      </c>
      <c r="E74" s="380">
        <f>+A74*B74*C74*D74</f>
        <v>32.04</v>
      </c>
    </row>
    <row r="75" spans="1:5" x14ac:dyDescent="0.15">
      <c r="A75" s="380">
        <v>0.6</v>
      </c>
      <c r="B75" s="380">
        <v>20</v>
      </c>
      <c r="C75" s="380">
        <v>0.62</v>
      </c>
      <c r="D75" s="388">
        <f>+D74</f>
        <v>3</v>
      </c>
      <c r="E75" s="380">
        <f>+A75*B75*C75*D75</f>
        <v>22.32</v>
      </c>
    </row>
    <row r="77" spans="1:5" x14ac:dyDescent="0.15">
      <c r="A77" s="380">
        <v>4</v>
      </c>
      <c r="B77" s="380">
        <v>7.4999999999999997E-2</v>
      </c>
      <c r="C77" s="380">
        <v>0.4</v>
      </c>
      <c r="D77" s="380">
        <v>1</v>
      </c>
      <c r="E77" s="380">
        <f>+A77*B77*C77*D77*1.1</f>
        <v>0.13200000000000001</v>
      </c>
    </row>
    <row r="78" spans="1:5" x14ac:dyDescent="0.15">
      <c r="A78" s="380">
        <v>4</v>
      </c>
      <c r="B78" s="380">
        <v>2</v>
      </c>
      <c r="C78" s="380">
        <v>0.62</v>
      </c>
      <c r="D78" s="388">
        <f>+D77</f>
        <v>1</v>
      </c>
      <c r="E78" s="380">
        <f>+A78*B78*C78*D78</f>
        <v>4.96</v>
      </c>
    </row>
    <row r="79" spans="1:5" x14ac:dyDescent="0.15">
      <c r="A79" s="380">
        <v>0.6</v>
      </c>
      <c r="B79" s="380">
        <v>12</v>
      </c>
      <c r="C79" s="380">
        <v>0.62</v>
      </c>
      <c r="D79" s="388">
        <v>1</v>
      </c>
      <c r="E79" s="380">
        <f>+A79*B79*C79*D79</f>
        <v>4.4639999999999995</v>
      </c>
    </row>
    <row r="81" spans="1:5" x14ac:dyDescent="0.15">
      <c r="A81" s="380">
        <v>9.5</v>
      </c>
      <c r="B81" s="380">
        <v>0.15</v>
      </c>
      <c r="C81" s="380">
        <v>0.2</v>
      </c>
      <c r="D81" s="380">
        <v>1</v>
      </c>
      <c r="E81" s="380">
        <f>+A81*B81*C81*D81*1.1</f>
        <v>0.31350000000000006</v>
      </c>
    </row>
    <row r="82" spans="1:5" x14ac:dyDescent="0.15">
      <c r="A82" s="380">
        <v>9.5</v>
      </c>
      <c r="B82" s="380">
        <v>4</v>
      </c>
      <c r="C82" s="380">
        <v>0.89</v>
      </c>
      <c r="D82" s="388">
        <f>+D81</f>
        <v>1</v>
      </c>
      <c r="E82" s="380">
        <f>+A82*B82*C82*D82</f>
        <v>33.82</v>
      </c>
    </row>
    <row r="83" spans="1:5" x14ac:dyDescent="0.15">
      <c r="A83" s="380">
        <v>0.6</v>
      </c>
      <c r="B83" s="380">
        <v>65</v>
      </c>
      <c r="C83" s="380">
        <v>0.62</v>
      </c>
      <c r="D83" s="388">
        <v>1</v>
      </c>
      <c r="E83" s="380">
        <f>+A83*B83*C83*D83</f>
        <v>24.18</v>
      </c>
    </row>
    <row r="85" spans="1:5" x14ac:dyDescent="0.15">
      <c r="A85" s="380">
        <v>2.5</v>
      </c>
      <c r="B85" s="380">
        <v>0.15</v>
      </c>
      <c r="C85" s="380">
        <v>0.15</v>
      </c>
      <c r="D85" s="380">
        <v>1</v>
      </c>
      <c r="E85" s="380">
        <f>+A85*B85*C85*D85*1.1</f>
        <v>6.1874999999999999E-2</v>
      </c>
    </row>
    <row r="100" spans="7:16" ht="20" x14ac:dyDescent="0.15">
      <c r="G100" s="353">
        <f>+G93+1</f>
        <v>1</v>
      </c>
      <c r="H100" s="196" t="s">
        <v>411</v>
      </c>
      <c r="I100" s="121"/>
      <c r="J100" s="122"/>
    </row>
    <row r="101" spans="7:16" ht="20" x14ac:dyDescent="0.15">
      <c r="G101" s="396">
        <f>+G100+0.1</f>
        <v>1.1000000000000001</v>
      </c>
      <c r="H101" s="399" t="s">
        <v>922</v>
      </c>
      <c r="I101" s="156"/>
      <c r="J101" s="141"/>
    </row>
    <row r="102" spans="7:16" ht="20" x14ac:dyDescent="0.15">
      <c r="G102" s="295" t="s">
        <v>661</v>
      </c>
      <c r="H102" s="215" t="s">
        <v>417</v>
      </c>
      <c r="I102" s="159">
        <f>+Sheet1!K79</f>
        <v>0</v>
      </c>
      <c r="J102" s="141" t="s">
        <v>637</v>
      </c>
      <c r="K102">
        <v>0.8</v>
      </c>
      <c r="L102">
        <v>0.8</v>
      </c>
      <c r="M102">
        <v>0.8</v>
      </c>
      <c r="N102">
        <v>4</v>
      </c>
      <c r="O102">
        <v>1.1000000000000001</v>
      </c>
      <c r="P102" s="63">
        <f>K102*L102*M102*N102*O102</f>
        <v>2.2528000000000006</v>
      </c>
    </row>
    <row r="103" spans="7:16" ht="20" x14ac:dyDescent="0.15">
      <c r="G103" s="295" t="s">
        <v>662</v>
      </c>
      <c r="H103" s="215" t="s">
        <v>412</v>
      </c>
      <c r="I103" s="159">
        <f>+Sheet1!K80</f>
        <v>0</v>
      </c>
      <c r="J103" s="141" t="s">
        <v>637</v>
      </c>
      <c r="K103">
        <v>0.8</v>
      </c>
      <c r="L103">
        <v>0.8</v>
      </c>
      <c r="M103">
        <v>0.2</v>
      </c>
      <c r="N103">
        <v>4</v>
      </c>
      <c r="O103">
        <v>1.1000000000000001</v>
      </c>
      <c r="P103" s="63">
        <f>K103*L103*M103*N103*O103</f>
        <v>0.56320000000000014</v>
      </c>
    </row>
    <row r="104" spans="7:16" ht="20" x14ac:dyDescent="0.15">
      <c r="G104" s="295" t="s">
        <v>663</v>
      </c>
      <c r="H104" s="215" t="s">
        <v>413</v>
      </c>
      <c r="I104" s="159"/>
      <c r="J104" s="141"/>
      <c r="P104" s="63"/>
    </row>
    <row r="105" spans="7:16" ht="19" x14ac:dyDescent="0.15">
      <c r="G105" s="376" t="s">
        <v>664</v>
      </c>
      <c r="H105" s="400" t="s">
        <v>928</v>
      </c>
      <c r="I105" s="160">
        <f>+Sheet1!K81</f>
        <v>0</v>
      </c>
      <c r="J105" s="163" t="s">
        <v>298</v>
      </c>
      <c r="K105">
        <v>1</v>
      </c>
      <c r="L105">
        <v>10</v>
      </c>
      <c r="M105">
        <f>3.14*(0.006)^2</f>
        <v>1.1304E-4</v>
      </c>
      <c r="N105">
        <v>7850</v>
      </c>
      <c r="O105">
        <v>4</v>
      </c>
      <c r="P105" s="63">
        <f>K105*L105*M105*N105*O105*1.1</f>
        <v>39.044016000000006</v>
      </c>
    </row>
    <row r="106" spans="7:16" ht="20" x14ac:dyDescent="0.15">
      <c r="G106" s="376" t="s">
        <v>665</v>
      </c>
      <c r="H106" s="176" t="s">
        <v>350</v>
      </c>
      <c r="I106" s="160">
        <f>+SUM(I105:I105)*1%</f>
        <v>0</v>
      </c>
      <c r="J106" s="163" t="s">
        <v>298</v>
      </c>
      <c r="K106">
        <v>0.01</v>
      </c>
      <c r="L106">
        <f>+P105</f>
        <v>39.044016000000006</v>
      </c>
      <c r="P106" s="63">
        <f>K106*L106</f>
        <v>0.39044016000000009</v>
      </c>
    </row>
    <row r="107" spans="7:16" ht="20" x14ac:dyDescent="0.15">
      <c r="G107" s="295" t="s">
        <v>666</v>
      </c>
      <c r="H107" s="217" t="s">
        <v>415</v>
      </c>
      <c r="I107" s="160">
        <f>+Sheet1!K82</f>
        <v>0</v>
      </c>
      <c r="J107" s="163" t="s">
        <v>637</v>
      </c>
      <c r="K107">
        <v>0.8</v>
      </c>
      <c r="L107">
        <v>0.8</v>
      </c>
      <c r="M107">
        <v>0.1</v>
      </c>
      <c r="N107">
        <v>4</v>
      </c>
      <c r="O107">
        <v>1.1000000000000001</v>
      </c>
      <c r="P107" s="63">
        <f>K107*L107*M107*N107*O107</f>
        <v>0.28160000000000007</v>
      </c>
    </row>
    <row r="108" spans="7:16" ht="20" x14ac:dyDescent="0.15">
      <c r="G108" s="295" t="s">
        <v>667</v>
      </c>
      <c r="H108" s="217" t="s">
        <v>937</v>
      </c>
      <c r="I108" s="160">
        <f>+I102-I103</f>
        <v>0</v>
      </c>
      <c r="J108" s="163" t="s">
        <v>892</v>
      </c>
      <c r="P108" s="63">
        <f>P102-P103</f>
        <v>1.6896000000000004</v>
      </c>
    </row>
    <row r="109" spans="7:16" ht="20" x14ac:dyDescent="0.15">
      <c r="G109" s="295" t="s">
        <v>669</v>
      </c>
      <c r="H109" s="217" t="s">
        <v>349</v>
      </c>
      <c r="I109" s="160">
        <v>1</v>
      </c>
      <c r="J109" s="163" t="s">
        <v>5</v>
      </c>
    </row>
    <row r="112" spans="7:16" ht="20" x14ac:dyDescent="0.15">
      <c r="G112" s="396"/>
      <c r="H112" s="220" t="s">
        <v>923</v>
      </c>
      <c r="I112" s="156"/>
      <c r="J112" s="141"/>
    </row>
    <row r="113" spans="7:18" ht="20" x14ac:dyDescent="0.15">
      <c r="G113" s="295" t="s">
        <v>560</v>
      </c>
      <c r="H113" s="215" t="s">
        <v>417</v>
      </c>
      <c r="I113" s="159">
        <f>+Sheet1!K86</f>
        <v>0</v>
      </c>
      <c r="J113" s="141" t="s">
        <v>637</v>
      </c>
      <c r="K113">
        <v>0.3</v>
      </c>
      <c r="L113">
        <v>0.6</v>
      </c>
      <c r="M113">
        <v>34.299999999999997</v>
      </c>
      <c r="N113">
        <v>1.1000000000000001</v>
      </c>
      <c r="P113" s="63">
        <f>K113*L113*M113*N113</f>
        <v>6.7914000000000003</v>
      </c>
    </row>
    <row r="114" spans="7:18" ht="20" x14ac:dyDescent="0.15">
      <c r="G114" s="295" t="s">
        <v>561</v>
      </c>
      <c r="H114" s="215" t="s">
        <v>412</v>
      </c>
      <c r="I114" s="159">
        <f>+Sheet1!K87</f>
        <v>0</v>
      </c>
      <c r="J114" s="141" t="s">
        <v>637</v>
      </c>
      <c r="K114">
        <v>0.3</v>
      </c>
      <c r="L114">
        <v>0.1</v>
      </c>
      <c r="M114">
        <v>34.299999999999997</v>
      </c>
      <c r="N114">
        <v>1.1000000000000001</v>
      </c>
      <c r="P114" s="63">
        <f>K114*L114*M114*N114</f>
        <v>1.1318999999999999</v>
      </c>
    </row>
    <row r="115" spans="7:18" ht="20" x14ac:dyDescent="0.15">
      <c r="G115" s="295" t="s">
        <v>562</v>
      </c>
      <c r="H115" s="215" t="s">
        <v>413</v>
      </c>
      <c r="I115" s="159"/>
      <c r="J115" s="141"/>
      <c r="P115" s="63"/>
    </row>
    <row r="116" spans="7:18" ht="19" x14ac:dyDescent="0.15">
      <c r="G116" s="376" t="s">
        <v>938</v>
      </c>
      <c r="H116" s="400" t="s">
        <v>928</v>
      </c>
      <c r="I116" s="160">
        <f>+Sheet1!K88</f>
        <v>0</v>
      </c>
      <c r="J116" s="163" t="s">
        <v>298</v>
      </c>
      <c r="K116">
        <v>34.299999999999997</v>
      </c>
      <c r="L116">
        <v>3</v>
      </c>
      <c r="M116">
        <f>3.14*(0.006)^2</f>
        <v>1.1304E-4</v>
      </c>
      <c r="N116">
        <v>7850</v>
      </c>
      <c r="O116">
        <v>1.1000000000000001</v>
      </c>
      <c r="P116" s="63">
        <f>K116*L116*M116*N116*O116</f>
        <v>100.44073116000001</v>
      </c>
    </row>
    <row r="117" spans="7:18" ht="19" x14ac:dyDescent="0.15">
      <c r="G117" s="376" t="s">
        <v>939</v>
      </c>
      <c r="H117" s="400" t="s">
        <v>929</v>
      </c>
      <c r="I117" s="160">
        <f>+Sheet1!K89</f>
        <v>0</v>
      </c>
      <c r="J117" s="163" t="s">
        <v>298</v>
      </c>
      <c r="K117">
        <v>0.5</v>
      </c>
      <c r="L117">
        <f>(3.14)*(0.005)^2</f>
        <v>7.8500000000000011E-5</v>
      </c>
      <c r="M117">
        <v>140</v>
      </c>
      <c r="N117">
        <v>7850</v>
      </c>
      <c r="O117">
        <v>1.1000000000000001</v>
      </c>
      <c r="P117" s="63">
        <f>K117*L117*M117*N117</f>
        <v>43.135750000000009</v>
      </c>
      <c r="R117">
        <f>34.3/0.25</f>
        <v>137.19999999999999</v>
      </c>
    </row>
    <row r="118" spans="7:18" ht="20" x14ac:dyDescent="0.15">
      <c r="G118" s="376" t="s">
        <v>940</v>
      </c>
      <c r="H118" s="176" t="s">
        <v>350</v>
      </c>
      <c r="I118" s="160">
        <f>+SUM(I116:I117)*1%</f>
        <v>0</v>
      </c>
      <c r="J118" s="163" t="s">
        <v>298</v>
      </c>
      <c r="K118">
        <v>0.01</v>
      </c>
      <c r="L118">
        <f>P116+P117</f>
        <v>143.57648116000001</v>
      </c>
      <c r="P118" s="63">
        <f>K118*L118</f>
        <v>1.4357648116000001</v>
      </c>
    </row>
    <row r="119" spans="7:18" ht="20" x14ac:dyDescent="0.15">
      <c r="G119" s="295" t="s">
        <v>941</v>
      </c>
      <c r="H119" s="217" t="s">
        <v>415</v>
      </c>
      <c r="I119" s="160">
        <f>+Sheet1!K90</f>
        <v>0</v>
      </c>
      <c r="J119" s="163" t="s">
        <v>637</v>
      </c>
      <c r="K119">
        <v>34.299999999999997</v>
      </c>
      <c r="L119">
        <v>0.05</v>
      </c>
      <c r="M119">
        <v>0.3</v>
      </c>
      <c r="N119">
        <v>1.1000000000000001</v>
      </c>
      <c r="P119" s="63">
        <f>K119*L119*M119*N119</f>
        <v>0.56594999999999995</v>
      </c>
    </row>
    <row r="120" spans="7:18" ht="20" x14ac:dyDescent="0.15">
      <c r="G120" s="295" t="s">
        <v>942</v>
      </c>
      <c r="H120" s="217" t="s">
        <v>937</v>
      </c>
      <c r="I120" s="160">
        <f>+I113-I114</f>
        <v>0</v>
      </c>
      <c r="J120" s="163" t="s">
        <v>892</v>
      </c>
      <c r="P120" s="63">
        <f>P113-P114</f>
        <v>5.6595000000000004</v>
      </c>
    </row>
    <row r="121" spans="7:18" ht="20" x14ac:dyDescent="0.15">
      <c r="G121" s="295" t="s">
        <v>943</v>
      </c>
      <c r="H121" s="217" t="s">
        <v>349</v>
      </c>
      <c r="I121" s="160">
        <v>1</v>
      </c>
      <c r="J121" s="163" t="s">
        <v>5</v>
      </c>
    </row>
    <row r="124" spans="7:18" ht="20" x14ac:dyDescent="0.15">
      <c r="G124" s="396"/>
      <c r="H124" s="220" t="s">
        <v>924</v>
      </c>
      <c r="I124" s="156"/>
      <c r="J124" s="141"/>
    </row>
    <row r="125" spans="7:18" ht="20" x14ac:dyDescent="0.15">
      <c r="G125" s="295" t="s">
        <v>701</v>
      </c>
      <c r="H125" s="215" t="s">
        <v>417</v>
      </c>
      <c r="I125" s="159">
        <f>+Sheet1!K94</f>
        <v>0</v>
      </c>
      <c r="J125" s="141" t="s">
        <v>637</v>
      </c>
      <c r="K125">
        <v>21.4</v>
      </c>
      <c r="L125">
        <v>0.4</v>
      </c>
      <c r="M125">
        <v>0.2</v>
      </c>
      <c r="N125">
        <v>1.1000000000000001</v>
      </c>
      <c r="P125" s="63">
        <f>K125*L125*M125*N125</f>
        <v>1.8832000000000004</v>
      </c>
    </row>
    <row r="126" spans="7:18" ht="20" x14ac:dyDescent="0.15">
      <c r="G126" s="295" t="s">
        <v>702</v>
      </c>
      <c r="H126" s="215" t="s">
        <v>412</v>
      </c>
      <c r="I126" s="159">
        <f>+Sheet1!K95</f>
        <v>0</v>
      </c>
      <c r="J126" s="141" t="s">
        <v>637</v>
      </c>
      <c r="K126">
        <v>21.4</v>
      </c>
      <c r="L126">
        <v>0.3</v>
      </c>
      <c r="M126">
        <v>0.2</v>
      </c>
      <c r="N126">
        <v>1.1000000000000001</v>
      </c>
      <c r="P126" s="63">
        <f>K126*L126*M126*N126</f>
        <v>1.4123999999999999</v>
      </c>
    </row>
    <row r="127" spans="7:18" ht="20" x14ac:dyDescent="0.15">
      <c r="G127" s="295" t="s">
        <v>731</v>
      </c>
      <c r="H127" s="215" t="s">
        <v>413</v>
      </c>
      <c r="I127" s="159"/>
      <c r="J127" s="141"/>
      <c r="P127" s="63"/>
    </row>
    <row r="128" spans="7:18" ht="19" x14ac:dyDescent="0.15">
      <c r="G128" s="376" t="s">
        <v>938</v>
      </c>
      <c r="H128" s="400" t="s">
        <v>928</v>
      </c>
      <c r="I128" s="160">
        <f>+Sheet1!K96</f>
        <v>0</v>
      </c>
      <c r="J128" s="163" t="s">
        <v>298</v>
      </c>
      <c r="K128">
        <v>24</v>
      </c>
      <c r="L128">
        <v>6</v>
      </c>
      <c r="M128">
        <f>3.14*(0.006)^2</f>
        <v>1.1304E-4</v>
      </c>
      <c r="N128">
        <v>7850</v>
      </c>
      <c r="O128">
        <v>1.1000000000000001</v>
      </c>
      <c r="P128" s="63">
        <f>K128*L128*M128*N128*O128</f>
        <v>140.5584576</v>
      </c>
    </row>
    <row r="129" spans="7:16" ht="19" x14ac:dyDescent="0.15">
      <c r="G129" s="376" t="s">
        <v>939</v>
      </c>
      <c r="H129" s="400" t="s">
        <v>929</v>
      </c>
      <c r="I129" s="160">
        <f>+Sheet1!K97</f>
        <v>0</v>
      </c>
      <c r="J129" s="163" t="s">
        <v>298</v>
      </c>
      <c r="K129">
        <f>43+43+37+37</f>
        <v>160</v>
      </c>
      <c r="L129">
        <v>0.8</v>
      </c>
      <c r="M129">
        <f>3.14*(0.005)^2</f>
        <v>7.8500000000000011E-5</v>
      </c>
      <c r="N129">
        <v>7850</v>
      </c>
      <c r="O129">
        <v>1.1000000000000001</v>
      </c>
      <c r="P129" s="63">
        <f>K129*L129*M129*N129*O129</f>
        <v>86.76448000000002</v>
      </c>
    </row>
    <row r="130" spans="7:16" ht="20" x14ac:dyDescent="0.15">
      <c r="G130" s="376" t="s">
        <v>940</v>
      </c>
      <c r="H130" s="176" t="s">
        <v>350</v>
      </c>
      <c r="I130" s="160">
        <f>+SUM(I128:I129)*1%</f>
        <v>0</v>
      </c>
      <c r="J130" s="163" t="s">
        <v>298</v>
      </c>
      <c r="P130" s="63">
        <f>0.01*(P128+P129)</f>
        <v>2.2732293760000002</v>
      </c>
    </row>
    <row r="131" spans="7:16" ht="20" x14ac:dyDescent="0.15">
      <c r="G131" s="295" t="s">
        <v>866</v>
      </c>
      <c r="H131" s="217" t="s">
        <v>415</v>
      </c>
      <c r="I131" s="160">
        <f>+Sheet1!K98</f>
        <v>0</v>
      </c>
      <c r="J131" s="163" t="s">
        <v>637</v>
      </c>
      <c r="K131">
        <v>21.4</v>
      </c>
      <c r="L131">
        <v>0.2</v>
      </c>
      <c r="M131">
        <v>0.05</v>
      </c>
      <c r="N131">
        <v>1.1000000000000001</v>
      </c>
      <c r="P131" s="63">
        <f>K131*L131*M131*N131</f>
        <v>0.23540000000000005</v>
      </c>
    </row>
    <row r="132" spans="7:16" ht="20" x14ac:dyDescent="0.15">
      <c r="G132" s="295" t="s">
        <v>974</v>
      </c>
      <c r="H132" s="217" t="s">
        <v>937</v>
      </c>
      <c r="I132" s="160">
        <f>+I125-I126</f>
        <v>0</v>
      </c>
      <c r="J132" s="163" t="s">
        <v>892</v>
      </c>
      <c r="P132" s="63">
        <f>P125-P126</f>
        <v>0.47080000000000055</v>
      </c>
    </row>
    <row r="133" spans="7:16" ht="20" x14ac:dyDescent="0.15">
      <c r="G133" s="295" t="s">
        <v>975</v>
      </c>
      <c r="H133" s="217" t="s">
        <v>349</v>
      </c>
      <c r="I133" s="160">
        <v>1</v>
      </c>
      <c r="J133" s="163" t="s">
        <v>5</v>
      </c>
    </row>
    <row r="136" spans="7:16" ht="20" x14ac:dyDescent="0.15">
      <c r="G136" s="397"/>
      <c r="H136" s="220" t="s">
        <v>926</v>
      </c>
      <c r="I136" s="156"/>
      <c r="J136" s="141"/>
    </row>
    <row r="137" spans="7:16" ht="20" x14ac:dyDescent="0.15">
      <c r="G137" s="295" t="s">
        <v>957</v>
      </c>
      <c r="H137" s="215" t="s">
        <v>412</v>
      </c>
      <c r="I137" s="159">
        <f>+Sheet1!K112</f>
        <v>0</v>
      </c>
      <c r="J137" s="141" t="s">
        <v>637</v>
      </c>
      <c r="K137">
        <f>10/100</f>
        <v>0.1</v>
      </c>
      <c r="L137">
        <f>(6*4.7)+(4.1*1.3)</f>
        <v>33.53</v>
      </c>
      <c r="M137">
        <v>1.1000000000000001</v>
      </c>
      <c r="P137" s="63">
        <f>K137*L137*M137</f>
        <v>3.6883000000000004</v>
      </c>
    </row>
    <row r="138" spans="7:16" ht="20" x14ac:dyDescent="0.15">
      <c r="G138" s="295" t="s">
        <v>958</v>
      </c>
      <c r="H138" s="215" t="s">
        <v>413</v>
      </c>
      <c r="I138" s="159"/>
      <c r="J138" s="141"/>
      <c r="P138" s="63"/>
    </row>
    <row r="139" spans="7:16" ht="19" x14ac:dyDescent="0.15">
      <c r="G139" s="376" t="s">
        <v>959</v>
      </c>
      <c r="H139" s="401" t="s">
        <v>925</v>
      </c>
      <c r="I139" s="156">
        <f>+Sheet1!K113</f>
        <v>0.3</v>
      </c>
      <c r="J139" s="141" t="s">
        <v>298</v>
      </c>
      <c r="K139">
        <v>26</v>
      </c>
      <c r="L139">
        <v>6</v>
      </c>
      <c r="M139">
        <f>(3.14)*(0.005)^2</f>
        <v>7.8500000000000011E-5</v>
      </c>
      <c r="N139">
        <v>7850</v>
      </c>
      <c r="O139">
        <v>1.1000000000000001</v>
      </c>
      <c r="P139" s="63">
        <f>K139*L139*M139*N139*O139</f>
        <v>105.74421000000002</v>
      </c>
    </row>
    <row r="140" spans="7:16" ht="20" x14ac:dyDescent="0.15">
      <c r="G140" s="376" t="s">
        <v>960</v>
      </c>
      <c r="H140" s="176" t="s">
        <v>350</v>
      </c>
      <c r="I140" s="160">
        <f>+SUM(I139)*1%</f>
        <v>3.0000000000000001E-3</v>
      </c>
      <c r="J140" s="163" t="s">
        <v>298</v>
      </c>
      <c r="P140" s="63">
        <f>(1/100)*P139</f>
        <v>1.0574421000000003</v>
      </c>
    </row>
    <row r="141" spans="7:16" ht="20" x14ac:dyDescent="0.15">
      <c r="G141" s="295" t="s">
        <v>961</v>
      </c>
      <c r="H141" s="217" t="s">
        <v>415</v>
      </c>
      <c r="I141" s="160">
        <f>+Sheet1!K115</f>
        <v>0</v>
      </c>
      <c r="J141" s="163" t="s">
        <v>637</v>
      </c>
      <c r="K141" s="61">
        <f>50/1000</f>
        <v>0.05</v>
      </c>
      <c r="L141">
        <f>+L137</f>
        <v>33.53</v>
      </c>
      <c r="M141">
        <v>1.1000000000000001</v>
      </c>
      <c r="P141" s="63">
        <f>K141*L141*M141</f>
        <v>1.8441500000000002</v>
      </c>
    </row>
    <row r="142" spans="7:16" ht="20" x14ac:dyDescent="0.15">
      <c r="G142" s="295" t="s">
        <v>962</v>
      </c>
      <c r="H142" s="217" t="s">
        <v>956</v>
      </c>
      <c r="I142" s="160">
        <f>+Sheet1!K114</f>
        <v>0.3</v>
      </c>
      <c r="J142" s="163" t="s">
        <v>892</v>
      </c>
      <c r="K142">
        <v>0.2</v>
      </c>
      <c r="L142">
        <v>33.53</v>
      </c>
      <c r="M142">
        <v>1.1000000000000001</v>
      </c>
      <c r="P142" s="63">
        <f>K142*L142*M142</f>
        <v>7.3766000000000007</v>
      </c>
    </row>
    <row r="143" spans="7:16" ht="20" x14ac:dyDescent="0.15">
      <c r="G143" s="295" t="s">
        <v>963</v>
      </c>
      <c r="H143" s="217" t="s">
        <v>349</v>
      </c>
      <c r="I143" s="160">
        <v>1</v>
      </c>
      <c r="J143" s="163" t="s">
        <v>5</v>
      </c>
    </row>
    <row r="146" spans="7:17" ht="20" x14ac:dyDescent="0.15">
      <c r="G146" s="397"/>
      <c r="H146" s="220" t="s">
        <v>309</v>
      </c>
      <c r="I146" s="156"/>
      <c r="J146" s="141"/>
    </row>
    <row r="147" spans="7:17" ht="20" x14ac:dyDescent="0.15">
      <c r="G147" s="295" t="s">
        <v>944</v>
      </c>
      <c r="H147" s="215" t="s">
        <v>412</v>
      </c>
      <c r="I147" s="159">
        <f>+Sheet1!K103</f>
        <v>0.8</v>
      </c>
      <c r="J147" s="141" t="s">
        <v>637</v>
      </c>
      <c r="K147">
        <f>L147+M147</f>
        <v>1.5389999999999999</v>
      </c>
      <c r="L147">
        <f>9*0.09</f>
        <v>0.80999999999999994</v>
      </c>
      <c r="M147">
        <f>8.1*0.09</f>
        <v>0.72899999999999998</v>
      </c>
      <c r="N147">
        <v>1.1000000000000001</v>
      </c>
      <c r="O147" s="63">
        <f>K147*N147</f>
        <v>1.6929000000000001</v>
      </c>
      <c r="Q147">
        <v>0.65</v>
      </c>
    </row>
    <row r="148" spans="7:17" ht="20" x14ac:dyDescent="0.15">
      <c r="G148" s="295" t="s">
        <v>945</v>
      </c>
      <c r="H148" s="215" t="s">
        <v>413</v>
      </c>
      <c r="I148" s="159"/>
      <c r="J148" s="141"/>
      <c r="O148" s="63"/>
      <c r="Q148">
        <f>3.14*(0.005)^2</f>
        <v>7.8500000000000011E-5</v>
      </c>
    </row>
    <row r="149" spans="7:17" ht="19" x14ac:dyDescent="0.15">
      <c r="G149" s="376" t="s">
        <v>946</v>
      </c>
      <c r="H149" s="400" t="s">
        <v>928</v>
      </c>
      <c r="I149" s="160">
        <f>+Sheet1!K104</f>
        <v>0</v>
      </c>
      <c r="J149" s="163" t="s">
        <v>298</v>
      </c>
      <c r="L149">
        <v>4.5</v>
      </c>
      <c r="M149">
        <v>4.05</v>
      </c>
      <c r="N149">
        <f>+M128</f>
        <v>1.1304E-4</v>
      </c>
      <c r="O149" s="63">
        <f>1.1*(L151+M151)</f>
        <v>133.53053471999999</v>
      </c>
      <c r="Q149">
        <v>7850</v>
      </c>
    </row>
    <row r="150" spans="7:17" ht="19" x14ac:dyDescent="0.15">
      <c r="G150" s="376" t="s">
        <v>947</v>
      </c>
      <c r="H150" s="400" t="s">
        <v>929</v>
      </c>
      <c r="I150" s="160">
        <f>+Sheet1!K105</f>
        <v>1</v>
      </c>
      <c r="J150" s="163" t="s">
        <v>298</v>
      </c>
      <c r="L150">
        <f>L149*N149</f>
        <v>5.0867999999999996E-4</v>
      </c>
      <c r="M150">
        <f>M149*N149</f>
        <v>4.5781199999999999E-4</v>
      </c>
      <c r="O150" s="63">
        <f>Q147*Q148*Q149*Q150*1.1</f>
        <v>62.56532425000001</v>
      </c>
      <c r="Q150">
        <f>(2*37)+(2*34)</f>
        <v>142</v>
      </c>
    </row>
    <row r="151" spans="7:17" ht="20" x14ac:dyDescent="0.15">
      <c r="G151" s="376" t="s">
        <v>948</v>
      </c>
      <c r="H151" s="176" t="s">
        <v>350</v>
      </c>
      <c r="I151" s="160">
        <f>+SUM(I149:I150)*1%</f>
        <v>0.01</v>
      </c>
      <c r="J151" s="163" t="s">
        <v>298</v>
      </c>
      <c r="L151">
        <f>16*L150*7850</f>
        <v>63.890207999999994</v>
      </c>
      <c r="M151">
        <f>16*M150*7850</f>
        <v>57.501187199999997</v>
      </c>
      <c r="O151" s="63">
        <f>(1/100)*(O149+O150)</f>
        <v>1.9609585896999999</v>
      </c>
    </row>
    <row r="152" spans="7:17" ht="20" x14ac:dyDescent="0.15">
      <c r="G152" s="295" t="s">
        <v>949</v>
      </c>
      <c r="H152" s="217" t="s">
        <v>349</v>
      </c>
      <c r="I152" s="160">
        <v>1</v>
      </c>
      <c r="J152" s="163" t="s">
        <v>5</v>
      </c>
    </row>
    <row r="154" spans="7:17" ht="20" x14ac:dyDescent="0.15">
      <c r="G154" s="398"/>
      <c r="H154" s="220" t="s">
        <v>927</v>
      </c>
      <c r="I154" s="156"/>
      <c r="J154" s="141"/>
    </row>
    <row r="155" spans="7:17" ht="20" x14ac:dyDescent="0.15">
      <c r="G155" s="295" t="s">
        <v>950</v>
      </c>
      <c r="H155" s="215" t="s">
        <v>412</v>
      </c>
      <c r="I155" s="159">
        <f>+Sheet1!K108</f>
        <v>0</v>
      </c>
      <c r="J155" s="141" t="s">
        <v>637</v>
      </c>
      <c r="K155">
        <f>0.25*0.35</f>
        <v>8.7499999999999994E-2</v>
      </c>
      <c r="L155">
        <f>6*4.7</f>
        <v>28.200000000000003</v>
      </c>
      <c r="M155">
        <v>1.1000000000000001</v>
      </c>
      <c r="O155" s="63">
        <f>K155*L155*M155</f>
        <v>2.7142500000000003</v>
      </c>
    </row>
    <row r="156" spans="7:17" ht="20" x14ac:dyDescent="0.15">
      <c r="G156" s="295" t="s">
        <v>951</v>
      </c>
      <c r="H156" s="215" t="s">
        <v>413</v>
      </c>
      <c r="I156" s="159"/>
      <c r="J156" s="141"/>
      <c r="O156" s="63"/>
    </row>
    <row r="157" spans="7:17" ht="19" x14ac:dyDescent="0.15">
      <c r="G157" s="376" t="s">
        <v>952</v>
      </c>
      <c r="H157" s="400" t="s">
        <v>928</v>
      </c>
      <c r="I157" s="160">
        <f>+Sheet1!K109</f>
        <v>0</v>
      </c>
      <c r="J157" s="163" t="s">
        <v>298</v>
      </c>
      <c r="O157" s="63">
        <f>P128</f>
        <v>140.5584576</v>
      </c>
    </row>
    <row r="158" spans="7:17" ht="19" x14ac:dyDescent="0.15">
      <c r="G158" s="376" t="s">
        <v>953</v>
      </c>
      <c r="H158" s="400" t="s">
        <v>929</v>
      </c>
      <c r="I158" s="160">
        <f>+Sheet1!K110</f>
        <v>0</v>
      </c>
      <c r="J158" s="163" t="s">
        <v>298</v>
      </c>
      <c r="K158">
        <v>160</v>
      </c>
      <c r="L158">
        <v>1</v>
      </c>
      <c r="M158">
        <f>+M129</f>
        <v>7.8500000000000011E-5</v>
      </c>
      <c r="N158">
        <v>7850</v>
      </c>
      <c r="O158" s="63">
        <f>K158*L158*M158*N158*1.1</f>
        <v>108.45560000000003</v>
      </c>
    </row>
    <row r="159" spans="7:17" ht="20" x14ac:dyDescent="0.15">
      <c r="G159" s="376" t="s">
        <v>954</v>
      </c>
      <c r="H159" s="176" t="s">
        <v>350</v>
      </c>
      <c r="I159" s="160">
        <f>+SUM(I157:I158)*1%</f>
        <v>0</v>
      </c>
      <c r="J159" s="163" t="s">
        <v>298</v>
      </c>
      <c r="O159" s="63">
        <f>0.01*(O157+O158)</f>
        <v>2.4901405760000004</v>
      </c>
    </row>
    <row r="160" spans="7:17" ht="20" x14ac:dyDescent="0.15">
      <c r="G160" s="295" t="s">
        <v>955</v>
      </c>
      <c r="H160" s="217" t="s">
        <v>349</v>
      </c>
      <c r="I160" s="160">
        <v>1</v>
      </c>
      <c r="J160" s="163" t="s">
        <v>5</v>
      </c>
    </row>
    <row r="163" spans="7:15" ht="20" x14ac:dyDescent="0.15">
      <c r="G163" s="398"/>
      <c r="H163" s="220" t="s">
        <v>976</v>
      </c>
      <c r="I163" s="156"/>
      <c r="J163" s="141"/>
    </row>
    <row r="164" spans="7:15" ht="20" x14ac:dyDescent="0.15">
      <c r="G164" s="295" t="s">
        <v>965</v>
      </c>
      <c r="H164" s="215" t="s">
        <v>412</v>
      </c>
      <c r="I164" s="159">
        <f>+Sheet1!K120+Sheet1!K124+Sheet1!K128+Sheet1!K132</f>
        <v>24</v>
      </c>
      <c r="J164" s="141" t="s">
        <v>637</v>
      </c>
    </row>
    <row r="165" spans="7:15" ht="20" x14ac:dyDescent="0.15">
      <c r="G165" s="295" t="s">
        <v>966</v>
      </c>
      <c r="H165" s="215" t="s">
        <v>413</v>
      </c>
      <c r="I165" s="159"/>
      <c r="J165" s="141"/>
    </row>
    <row r="166" spans="7:15" ht="19" x14ac:dyDescent="0.15">
      <c r="G166" s="376" t="s">
        <v>967</v>
      </c>
      <c r="H166" s="400" t="s">
        <v>928</v>
      </c>
      <c r="I166" s="160">
        <f>+Sheet1!K121+Sheet1!K129</f>
        <v>160</v>
      </c>
      <c r="J166" s="163" t="s">
        <v>298</v>
      </c>
    </row>
    <row r="167" spans="7:15" ht="19" x14ac:dyDescent="0.15">
      <c r="G167" s="376" t="s">
        <v>968</v>
      </c>
      <c r="H167" s="400" t="s">
        <v>929</v>
      </c>
      <c r="I167" s="160">
        <f>+Sheet1!K122+Sheet1!K125+Sheet1!K126+Sheet1!K130</f>
        <v>42.8</v>
      </c>
      <c r="J167" s="163" t="s">
        <v>298</v>
      </c>
    </row>
    <row r="168" spans="7:15" ht="20" x14ac:dyDescent="0.15">
      <c r="G168" s="376" t="s">
        <v>969</v>
      </c>
      <c r="H168" s="176" t="s">
        <v>350</v>
      </c>
      <c r="I168" s="160">
        <f>+SUM(I166:I167)*1%</f>
        <v>2.028</v>
      </c>
      <c r="J168" s="163" t="s">
        <v>298</v>
      </c>
    </row>
    <row r="169" spans="7:15" ht="20" x14ac:dyDescent="0.15">
      <c r="G169" s="295" t="s">
        <v>970</v>
      </c>
      <c r="H169" s="217" t="s">
        <v>349</v>
      </c>
      <c r="I169" s="160">
        <v>1</v>
      </c>
      <c r="J169" s="163" t="s">
        <v>5</v>
      </c>
    </row>
    <row r="172" spans="7:15" x14ac:dyDescent="0.15">
      <c r="H172" t="s">
        <v>979</v>
      </c>
      <c r="K172">
        <v>0.4</v>
      </c>
      <c r="L172">
        <v>4</v>
      </c>
      <c r="M172">
        <v>0.08</v>
      </c>
      <c r="N172">
        <v>1.1000000000000001</v>
      </c>
      <c r="O172" s="403">
        <f>K172*L172*M172*N172</f>
        <v>0.14080000000000001</v>
      </c>
    </row>
    <row r="173" spans="7:15" x14ac:dyDescent="0.15">
      <c r="H173" t="s">
        <v>980</v>
      </c>
      <c r="K173">
        <v>0.15</v>
      </c>
      <c r="L173">
        <v>0.2</v>
      </c>
      <c r="M173">
        <v>3</v>
      </c>
      <c r="N173">
        <v>3</v>
      </c>
      <c r="O173" s="403">
        <f>K173*L173*M173*N173*1.1</f>
        <v>0.29700000000000004</v>
      </c>
    </row>
    <row r="174" spans="7:15" x14ac:dyDescent="0.15">
      <c r="H174" t="s">
        <v>981</v>
      </c>
      <c r="K174">
        <v>0.15</v>
      </c>
      <c r="L174">
        <v>0.2</v>
      </c>
      <c r="M174">
        <v>10.7</v>
      </c>
      <c r="N174">
        <v>1.1000000000000001</v>
      </c>
      <c r="O174" s="403">
        <f>K174*L174*M174*N174</f>
        <v>0.35309999999999997</v>
      </c>
    </row>
    <row r="175" spans="7:15" x14ac:dyDescent="0.15">
      <c r="H175" t="s">
        <v>982</v>
      </c>
      <c r="K175">
        <v>0.15</v>
      </c>
      <c r="L175">
        <v>0.15</v>
      </c>
      <c r="M175">
        <v>2.5</v>
      </c>
      <c r="N175">
        <v>1.1000000000000001</v>
      </c>
      <c r="O175" s="403">
        <f>K175*L175*M175*N175</f>
        <v>6.1874999999999999E-2</v>
      </c>
    </row>
    <row r="176" spans="7:15" x14ac:dyDescent="0.15">
      <c r="O176" s="63">
        <f>O172+O173+O174+O175</f>
        <v>0.85277500000000006</v>
      </c>
    </row>
    <row r="184" spans="8:9" x14ac:dyDescent="0.15">
      <c r="H184" t="s">
        <v>983</v>
      </c>
      <c r="I184">
        <f>96.11+5.2965+13.992</f>
        <v>115.3985</v>
      </c>
    </row>
    <row r="185" spans="8:9" x14ac:dyDescent="0.15">
      <c r="H185" t="s">
        <v>984</v>
      </c>
      <c r="I185">
        <v>14.16</v>
      </c>
    </row>
    <row r="187" spans="8:9" x14ac:dyDescent="0.15">
      <c r="I187">
        <f>I184-I185</f>
        <v>101.2385</v>
      </c>
    </row>
  </sheetData>
  <mergeCells count="18">
    <mergeCell ref="M3:M5"/>
    <mergeCell ref="N3:N5"/>
    <mergeCell ref="L3:L5"/>
    <mergeCell ref="O3:O5"/>
    <mergeCell ref="J2:K2"/>
    <mergeCell ref="J3:J5"/>
    <mergeCell ref="K3:K5"/>
    <mergeCell ref="F2:I2"/>
    <mergeCell ref="A3:A5"/>
    <mergeCell ref="B2:B5"/>
    <mergeCell ref="C2:C5"/>
    <mergeCell ref="E3:E5"/>
    <mergeCell ref="I3:I5"/>
    <mergeCell ref="D2:E2"/>
    <mergeCell ref="D3:D5"/>
    <mergeCell ref="F3:H3"/>
    <mergeCell ref="F4:F5"/>
    <mergeCell ref="G4:G5"/>
  </mergeCell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4">
    <pageSetUpPr fitToPage="1"/>
  </sheetPr>
  <dimension ref="A1:GY506"/>
  <sheetViews>
    <sheetView view="pageBreakPreview" topLeftCell="A323" zoomScale="55" zoomScaleNormal="55" zoomScaleSheetLayoutView="55" zoomScalePageLayoutView="75" workbookViewId="0">
      <selection activeCell="B339" sqref="B339:B343"/>
    </sheetView>
  </sheetViews>
  <sheetFormatPr baseColWidth="10" defaultColWidth="9.1640625" defaultRowHeight="18" outlineLevelRow="2" x14ac:dyDescent="0.2"/>
  <cols>
    <col min="1" max="1" width="27.33203125" style="109" customWidth="1"/>
    <col min="2" max="2" width="98.83203125" style="136" customWidth="1"/>
    <col min="3" max="3" width="15.33203125" style="100" customWidth="1"/>
    <col min="4" max="4" width="12.33203125" style="107" customWidth="1"/>
    <col min="5" max="5" width="21.6640625" style="100" bestFit="1" customWidth="1"/>
    <col min="6" max="6" width="19.1640625" style="100" customWidth="1"/>
    <col min="7" max="7" width="24" style="99" customWidth="1"/>
    <col min="8" max="8" width="18.83203125" style="99" customWidth="1"/>
    <col min="9" max="9" width="18.6640625" style="99" customWidth="1"/>
    <col min="10" max="10" width="19" style="99" customWidth="1"/>
    <col min="11" max="11" width="19.83203125" style="99" customWidth="1"/>
    <col min="12" max="12" width="25.83203125" style="99" customWidth="1"/>
    <col min="13" max="13" width="28.5" style="99" customWidth="1"/>
    <col min="14" max="14" width="34.5" style="99" customWidth="1"/>
    <col min="15" max="15" width="25.5" style="99" customWidth="1"/>
    <col min="16" max="24" width="9.1640625" style="99"/>
    <col min="25" max="25" width="18.5" style="99" bestFit="1" customWidth="1"/>
    <col min="26" max="16384" width="9.1640625" style="99"/>
  </cols>
  <sheetData>
    <row r="1" spans="2:14" x14ac:dyDescent="0.2">
      <c r="B1" s="134"/>
      <c r="C1" s="98"/>
      <c r="D1" s="106"/>
      <c r="E1" s="98"/>
      <c r="F1" s="98"/>
      <c r="G1" s="102"/>
      <c r="I1" s="102"/>
      <c r="J1" s="102"/>
      <c r="K1" s="102"/>
      <c r="L1" s="102"/>
      <c r="M1" s="102"/>
      <c r="N1" s="102"/>
    </row>
    <row r="2" spans="2:14" x14ac:dyDescent="0.2">
      <c r="B2" s="134"/>
      <c r="C2" s="98"/>
      <c r="D2" s="106"/>
      <c r="E2" s="98"/>
      <c r="F2" s="98"/>
      <c r="H2" s="778"/>
      <c r="I2" s="778"/>
      <c r="J2" s="102"/>
      <c r="K2" s="102"/>
      <c r="L2" s="102"/>
      <c r="M2" s="102"/>
      <c r="N2" s="102"/>
    </row>
    <row r="3" spans="2:14" x14ac:dyDescent="0.2">
      <c r="B3" s="134"/>
      <c r="C3" s="98"/>
      <c r="D3" s="106"/>
      <c r="E3" s="98"/>
      <c r="F3" s="98"/>
      <c r="G3" s="102"/>
      <c r="H3" s="779"/>
      <c r="I3" s="779"/>
      <c r="J3" s="102"/>
      <c r="K3" s="102"/>
      <c r="L3" s="102"/>
      <c r="M3" s="102"/>
      <c r="N3" s="102"/>
    </row>
    <row r="4" spans="2:14" x14ac:dyDescent="0.2">
      <c r="B4" s="134"/>
      <c r="G4" s="779"/>
      <c r="H4" s="779"/>
      <c r="I4" s="779"/>
      <c r="J4" s="779"/>
    </row>
    <row r="5" spans="2:14" x14ac:dyDescent="0.2">
      <c r="B5" s="134"/>
      <c r="G5" s="780"/>
      <c r="H5" s="780"/>
      <c r="I5" s="780"/>
      <c r="J5" s="780"/>
    </row>
    <row r="6" spans="2:14" x14ac:dyDescent="0.2">
      <c r="B6" s="134"/>
      <c r="G6" s="780"/>
      <c r="H6" s="780"/>
      <c r="I6" s="780"/>
      <c r="J6" s="780"/>
    </row>
    <row r="7" spans="2:14" x14ac:dyDescent="0.2">
      <c r="B7" s="134"/>
      <c r="H7" s="101"/>
    </row>
    <row r="8" spans="2:14" x14ac:dyDescent="0.2">
      <c r="B8" s="134"/>
    </row>
    <row r="9" spans="2:14" x14ac:dyDescent="0.2">
      <c r="B9" s="134"/>
      <c r="I9" s="103"/>
    </row>
    <row r="10" spans="2:14" x14ac:dyDescent="0.2">
      <c r="B10" s="134"/>
      <c r="I10" s="103"/>
    </row>
    <row r="11" spans="2:14" x14ac:dyDescent="0.2">
      <c r="B11" s="134"/>
      <c r="I11" s="103"/>
    </row>
    <row r="12" spans="2:14" x14ac:dyDescent="0.2">
      <c r="B12" s="134"/>
      <c r="I12" s="103"/>
    </row>
    <row r="13" spans="2:14" x14ac:dyDescent="0.2">
      <c r="B13" s="134"/>
      <c r="I13" s="103"/>
    </row>
    <row r="14" spans="2:14" x14ac:dyDescent="0.2">
      <c r="B14" s="134"/>
      <c r="I14" s="103"/>
    </row>
    <row r="15" spans="2:14" x14ac:dyDescent="0.2">
      <c r="B15" s="134"/>
    </row>
    <row r="16" spans="2:14" ht="21" x14ac:dyDescent="0.25">
      <c r="B16" s="134"/>
      <c r="I16" s="104"/>
      <c r="J16" s="104"/>
      <c r="K16" s="104"/>
    </row>
    <row r="17" spans="1:15" ht="21" x14ac:dyDescent="0.25">
      <c r="B17" s="134"/>
      <c r="I17" s="104"/>
      <c r="J17" s="104"/>
      <c r="K17" s="104"/>
    </row>
    <row r="18" spans="1:15" ht="21" x14ac:dyDescent="0.25">
      <c r="B18" s="134"/>
      <c r="I18" s="104"/>
      <c r="J18" s="104"/>
      <c r="K18" s="104"/>
    </row>
    <row r="19" spans="1:15" x14ac:dyDescent="0.2">
      <c r="B19" s="134"/>
    </row>
    <row r="20" spans="1:15" ht="19" thickBot="1" x14ac:dyDescent="0.25">
      <c r="A20" s="108"/>
      <c r="B20" s="135"/>
    </row>
    <row r="21" spans="1:15" s="139" customFormat="1" ht="18.75" customHeight="1" x14ac:dyDescent="0.15">
      <c r="A21" s="859" t="s">
        <v>138</v>
      </c>
      <c r="B21" s="861" t="s">
        <v>19</v>
      </c>
      <c r="C21" s="863" t="s">
        <v>2</v>
      </c>
      <c r="D21" s="863" t="s">
        <v>0</v>
      </c>
      <c r="E21" s="863" t="s">
        <v>404</v>
      </c>
      <c r="F21" s="863" t="s">
        <v>346</v>
      </c>
      <c r="G21" s="849" t="s">
        <v>328</v>
      </c>
      <c r="H21" s="863" t="s">
        <v>327</v>
      </c>
      <c r="I21" s="863"/>
      <c r="J21" s="849" t="s">
        <v>332</v>
      </c>
      <c r="K21" s="849"/>
      <c r="L21" s="849" t="s">
        <v>333</v>
      </c>
      <c r="M21" s="849" t="s">
        <v>334</v>
      </c>
      <c r="N21" s="849" t="s">
        <v>335</v>
      </c>
      <c r="O21" s="851" t="s">
        <v>231</v>
      </c>
    </row>
    <row r="22" spans="1:15" s="139" customFormat="1" ht="34.5" customHeight="1" x14ac:dyDescent="0.15">
      <c r="A22" s="860"/>
      <c r="B22" s="862"/>
      <c r="C22" s="864"/>
      <c r="D22" s="864"/>
      <c r="E22" s="864"/>
      <c r="F22" s="864"/>
      <c r="G22" s="850"/>
      <c r="H22" s="347" t="s">
        <v>329</v>
      </c>
      <c r="I22" s="347" t="s">
        <v>330</v>
      </c>
      <c r="J22" s="347" t="s">
        <v>331</v>
      </c>
      <c r="K22" s="347" t="s">
        <v>336</v>
      </c>
      <c r="L22" s="850"/>
      <c r="M22" s="850"/>
      <c r="N22" s="850"/>
      <c r="O22" s="852"/>
    </row>
    <row r="23" spans="1:15" s="139" customFormat="1" ht="23.25" hidden="1" customHeight="1" x14ac:dyDescent="0.25">
      <c r="A23" s="860"/>
      <c r="B23" s="862"/>
      <c r="C23" s="348"/>
      <c r="D23" s="348"/>
      <c r="E23" s="348"/>
      <c r="F23" s="348"/>
      <c r="G23" s="850"/>
      <c r="H23" s="347"/>
      <c r="I23" s="347"/>
      <c r="J23" s="347"/>
      <c r="K23" s="347"/>
      <c r="L23" s="347"/>
      <c r="M23" s="347"/>
      <c r="N23" s="347"/>
      <c r="O23" s="140"/>
    </row>
    <row r="24" spans="1:15" s="142" customFormat="1" ht="18.75" hidden="1" customHeight="1" x14ac:dyDescent="0.25">
      <c r="A24" s="860"/>
      <c r="B24" s="862"/>
      <c r="C24" s="141">
        <v>1</v>
      </c>
      <c r="D24" s="141" t="s">
        <v>18</v>
      </c>
      <c r="E24" s="141"/>
      <c r="F24" s="141"/>
      <c r="G24" s="850"/>
      <c r="H24" s="141" t="s">
        <v>177</v>
      </c>
      <c r="I24" s="141"/>
      <c r="J24" s="141"/>
      <c r="K24" s="141"/>
      <c r="L24" s="141"/>
      <c r="M24" s="141"/>
      <c r="N24" s="141"/>
      <c r="O24" s="140"/>
    </row>
    <row r="25" spans="1:15" s="142" customFormat="1" ht="18.75" hidden="1" customHeight="1" x14ac:dyDescent="0.25">
      <c r="A25" s="860"/>
      <c r="B25" s="862"/>
      <c r="C25" s="141">
        <v>1</v>
      </c>
      <c r="D25" s="141" t="s">
        <v>18</v>
      </c>
      <c r="E25" s="141"/>
      <c r="F25" s="141"/>
      <c r="G25" s="850"/>
      <c r="H25" s="141"/>
      <c r="I25" s="141"/>
      <c r="J25" s="141"/>
      <c r="K25" s="141"/>
      <c r="L25" s="141"/>
      <c r="M25" s="141"/>
      <c r="N25" s="141"/>
      <c r="O25" s="140"/>
    </row>
    <row r="26" spans="1:15" s="139" customFormat="1" ht="23.25" hidden="1" customHeight="1" x14ac:dyDescent="0.25">
      <c r="A26" s="860"/>
      <c r="B26" s="862"/>
      <c r="C26" s="141">
        <v>2</v>
      </c>
      <c r="D26" s="141" t="s">
        <v>18</v>
      </c>
      <c r="E26" s="141"/>
      <c r="F26" s="141"/>
      <c r="G26" s="850"/>
      <c r="H26" s="143"/>
      <c r="I26" s="143"/>
      <c r="J26" s="143"/>
      <c r="K26" s="143"/>
      <c r="L26" s="143"/>
      <c r="M26" s="143"/>
      <c r="N26" s="143"/>
      <c r="O26" s="140"/>
    </row>
    <row r="27" spans="1:15" s="142" customFormat="1" ht="18.75" hidden="1" customHeight="1" x14ac:dyDescent="0.25">
      <c r="A27" s="860"/>
      <c r="B27" s="862"/>
      <c r="C27" s="141">
        <v>4</v>
      </c>
      <c r="D27" s="141" t="s">
        <v>18</v>
      </c>
      <c r="E27" s="141"/>
      <c r="F27" s="141"/>
      <c r="G27" s="850"/>
      <c r="H27" s="141"/>
      <c r="I27" s="141"/>
      <c r="J27" s="141"/>
      <c r="K27" s="141"/>
      <c r="L27" s="141"/>
      <c r="M27" s="141"/>
      <c r="N27" s="141"/>
      <c r="O27" s="140"/>
    </row>
    <row r="28" spans="1:15" s="142" customFormat="1" ht="18.75" hidden="1" customHeight="1" x14ac:dyDescent="0.25">
      <c r="A28" s="860"/>
      <c r="B28" s="862"/>
      <c r="C28" s="141">
        <v>1</v>
      </c>
      <c r="D28" s="141" t="s">
        <v>1</v>
      </c>
      <c r="E28" s="141"/>
      <c r="F28" s="141"/>
      <c r="G28" s="850"/>
      <c r="H28" s="141"/>
      <c r="I28" s="141"/>
      <c r="J28" s="141"/>
      <c r="K28" s="141"/>
      <c r="L28" s="141"/>
      <c r="M28" s="141"/>
      <c r="N28" s="141"/>
      <c r="O28" s="140"/>
    </row>
    <row r="29" spans="1:15" s="139" customFormat="1" ht="23.25" hidden="1" customHeight="1" x14ac:dyDescent="0.25">
      <c r="A29" s="860"/>
      <c r="B29" s="862"/>
      <c r="C29" s="141">
        <v>1</v>
      </c>
      <c r="D29" s="141" t="s">
        <v>1</v>
      </c>
      <c r="E29" s="141"/>
      <c r="F29" s="141"/>
      <c r="G29" s="850"/>
      <c r="H29" s="143"/>
      <c r="I29" s="143"/>
      <c r="J29" s="143"/>
      <c r="K29" s="143"/>
      <c r="L29" s="143"/>
      <c r="M29" s="143"/>
      <c r="N29" s="143"/>
      <c r="O29" s="140"/>
    </row>
    <row r="30" spans="1:15" s="142" customFormat="1" ht="18.75" hidden="1" customHeight="1" x14ac:dyDescent="0.25">
      <c r="A30" s="860"/>
      <c r="B30" s="862"/>
      <c r="C30" s="141">
        <v>8</v>
      </c>
      <c r="D30" s="141" t="s">
        <v>18</v>
      </c>
      <c r="E30" s="141"/>
      <c r="F30" s="141"/>
      <c r="G30" s="850"/>
      <c r="H30" s="141"/>
      <c r="I30" s="141"/>
      <c r="J30" s="141"/>
      <c r="K30" s="141"/>
      <c r="L30" s="141"/>
      <c r="M30" s="141"/>
      <c r="N30" s="141"/>
      <c r="O30" s="140"/>
    </row>
    <row r="31" spans="1:15" s="142" customFormat="1" ht="18.75" hidden="1" customHeight="1" x14ac:dyDescent="0.25">
      <c r="A31" s="860"/>
      <c r="B31" s="862"/>
      <c r="C31" s="141">
        <v>2</v>
      </c>
      <c r="D31" s="141" t="s">
        <v>18</v>
      </c>
      <c r="E31" s="141"/>
      <c r="F31" s="141"/>
      <c r="G31" s="850"/>
      <c r="H31" s="141"/>
      <c r="I31" s="141"/>
      <c r="J31" s="141"/>
      <c r="K31" s="141"/>
      <c r="L31" s="141"/>
      <c r="M31" s="141"/>
      <c r="N31" s="141"/>
      <c r="O31" s="140"/>
    </row>
    <row r="32" spans="1:15" s="142" customFormat="1" ht="18.75" hidden="1" customHeight="1" x14ac:dyDescent="0.25">
      <c r="A32" s="860"/>
      <c r="B32" s="862"/>
      <c r="C32" s="141">
        <v>1</v>
      </c>
      <c r="D32" s="141" t="s">
        <v>18</v>
      </c>
      <c r="E32" s="141"/>
      <c r="F32" s="141"/>
      <c r="G32" s="850"/>
      <c r="H32" s="141"/>
      <c r="I32" s="141"/>
      <c r="J32" s="141"/>
      <c r="K32" s="141"/>
      <c r="L32" s="141"/>
      <c r="M32" s="141"/>
      <c r="N32" s="141"/>
      <c r="O32" s="140"/>
    </row>
    <row r="33" spans="1:15" s="142" customFormat="1" ht="37.5" hidden="1" customHeight="1" x14ac:dyDescent="0.25">
      <c r="A33" s="860"/>
      <c r="B33" s="862"/>
      <c r="C33" s="141">
        <v>3</v>
      </c>
      <c r="D33" s="141" t="s">
        <v>18</v>
      </c>
      <c r="E33" s="141"/>
      <c r="F33" s="141"/>
      <c r="G33" s="850"/>
      <c r="H33" s="141"/>
      <c r="I33" s="141"/>
      <c r="J33" s="141"/>
      <c r="K33" s="141"/>
      <c r="L33" s="141"/>
      <c r="M33" s="141"/>
      <c r="N33" s="141"/>
      <c r="O33" s="140"/>
    </row>
    <row r="34" spans="1:15" s="142" customFormat="1" ht="18.75" hidden="1" customHeight="1" x14ac:dyDescent="0.25">
      <c r="A34" s="860"/>
      <c r="B34" s="862"/>
      <c r="C34" s="141">
        <v>1</v>
      </c>
      <c r="D34" s="141" t="s">
        <v>18</v>
      </c>
      <c r="E34" s="141"/>
      <c r="F34" s="141"/>
      <c r="G34" s="850"/>
      <c r="H34" s="141"/>
      <c r="I34" s="141"/>
      <c r="J34" s="141"/>
      <c r="K34" s="141"/>
      <c r="L34" s="141"/>
      <c r="M34" s="141"/>
      <c r="N34" s="141"/>
      <c r="O34" s="140"/>
    </row>
    <row r="35" spans="1:15" s="142" customFormat="1" ht="18.75" hidden="1" customHeight="1" x14ac:dyDescent="0.25">
      <c r="A35" s="860"/>
      <c r="B35" s="862"/>
      <c r="C35" s="141">
        <v>2</v>
      </c>
      <c r="D35" s="141" t="s">
        <v>18</v>
      </c>
      <c r="E35" s="141"/>
      <c r="F35" s="141"/>
      <c r="G35" s="850"/>
      <c r="H35" s="141"/>
      <c r="I35" s="141"/>
      <c r="J35" s="141"/>
      <c r="K35" s="141"/>
      <c r="L35" s="141"/>
      <c r="M35" s="141"/>
      <c r="N35" s="141"/>
      <c r="O35" s="140"/>
    </row>
    <row r="36" spans="1:15" s="142" customFormat="1" ht="18.75" hidden="1" customHeight="1" x14ac:dyDescent="0.25">
      <c r="A36" s="860"/>
      <c r="B36" s="862"/>
      <c r="C36" s="141">
        <v>1</v>
      </c>
      <c r="D36" s="141" t="s">
        <v>18</v>
      </c>
      <c r="E36" s="141"/>
      <c r="F36" s="141"/>
      <c r="G36" s="850"/>
      <c r="H36" s="141"/>
      <c r="I36" s="141"/>
      <c r="J36" s="141"/>
      <c r="K36" s="141"/>
      <c r="L36" s="141"/>
      <c r="M36" s="141"/>
      <c r="N36" s="141"/>
      <c r="O36" s="140"/>
    </row>
    <row r="37" spans="1:15" s="142" customFormat="1" ht="18.75" hidden="1" customHeight="1" x14ac:dyDescent="0.25">
      <c r="A37" s="860"/>
      <c r="B37" s="862"/>
      <c r="C37" s="141">
        <v>1</v>
      </c>
      <c r="D37" s="141" t="s">
        <v>18</v>
      </c>
      <c r="E37" s="141"/>
      <c r="F37" s="141"/>
      <c r="G37" s="850"/>
      <c r="H37" s="141"/>
      <c r="I37" s="141"/>
      <c r="J37" s="141"/>
      <c r="K37" s="141"/>
      <c r="L37" s="141"/>
      <c r="M37" s="141"/>
      <c r="N37" s="141"/>
      <c r="O37" s="140"/>
    </row>
    <row r="38" spans="1:15" s="144" customFormat="1" ht="18.75" hidden="1" customHeight="1" x14ac:dyDescent="0.25">
      <c r="A38" s="860"/>
      <c r="B38" s="862"/>
      <c r="C38" s="141"/>
      <c r="D38" s="141"/>
      <c r="E38" s="141"/>
      <c r="F38" s="141"/>
      <c r="G38" s="850"/>
      <c r="H38" s="141"/>
      <c r="I38" s="141"/>
      <c r="J38" s="141"/>
      <c r="K38" s="141"/>
      <c r="L38" s="141"/>
      <c r="M38" s="141"/>
      <c r="N38" s="141"/>
      <c r="O38" s="140"/>
    </row>
    <row r="39" spans="1:15" s="139" customFormat="1" ht="18.75" hidden="1" customHeight="1" x14ac:dyDescent="0.25">
      <c r="A39" s="860"/>
      <c r="B39" s="862"/>
      <c r="C39" s="141">
        <v>1</v>
      </c>
      <c r="D39" s="141" t="s">
        <v>1</v>
      </c>
      <c r="E39" s="141"/>
      <c r="F39" s="141"/>
      <c r="G39" s="850"/>
      <c r="H39" s="143"/>
      <c r="I39" s="143"/>
      <c r="J39" s="143"/>
      <c r="K39" s="143"/>
      <c r="L39" s="143"/>
      <c r="M39" s="143"/>
      <c r="N39" s="143"/>
      <c r="O39" s="140"/>
    </row>
    <row r="40" spans="1:15" s="142" customFormat="1" ht="18.75" hidden="1" customHeight="1" x14ac:dyDescent="0.25">
      <c r="A40" s="860"/>
      <c r="B40" s="862"/>
      <c r="C40" s="141">
        <v>5</v>
      </c>
      <c r="D40" s="141" t="s">
        <v>1</v>
      </c>
      <c r="E40" s="141"/>
      <c r="F40" s="141"/>
      <c r="G40" s="850"/>
      <c r="H40" s="141"/>
      <c r="I40" s="141"/>
      <c r="J40" s="141"/>
      <c r="K40" s="141"/>
      <c r="L40" s="141"/>
      <c r="M40" s="141"/>
      <c r="N40" s="141"/>
      <c r="O40" s="140"/>
    </row>
    <row r="41" spans="1:15" s="142" customFormat="1" ht="18.75" hidden="1" customHeight="1" x14ac:dyDescent="0.25">
      <c r="A41" s="860"/>
      <c r="B41" s="862"/>
      <c r="C41" s="141"/>
      <c r="D41" s="141"/>
      <c r="E41" s="141"/>
      <c r="F41" s="141"/>
      <c r="G41" s="850"/>
      <c r="H41" s="141"/>
      <c r="I41" s="141"/>
      <c r="J41" s="141"/>
      <c r="K41" s="141"/>
      <c r="L41" s="141"/>
      <c r="M41" s="141"/>
      <c r="N41" s="141"/>
      <c r="O41" s="140"/>
    </row>
    <row r="42" spans="1:15" s="144" customFormat="1" ht="18.75" hidden="1" customHeight="1" x14ac:dyDescent="0.25">
      <c r="A42" s="860"/>
      <c r="B42" s="862"/>
      <c r="C42" s="141">
        <v>4</v>
      </c>
      <c r="D42" s="141" t="s">
        <v>18</v>
      </c>
      <c r="E42" s="141"/>
      <c r="F42" s="141"/>
      <c r="G42" s="850"/>
      <c r="H42" s="141">
        <v>1000</v>
      </c>
      <c r="I42" s="141">
        <v>220</v>
      </c>
      <c r="J42" s="141"/>
      <c r="K42" s="141"/>
      <c r="L42" s="141"/>
      <c r="M42" s="141"/>
      <c r="N42" s="141"/>
      <c r="O42" s="140"/>
    </row>
    <row r="43" spans="1:15" s="144" customFormat="1" ht="18.75" hidden="1" customHeight="1" x14ac:dyDescent="0.25">
      <c r="A43" s="860"/>
      <c r="B43" s="862"/>
      <c r="C43" s="141">
        <v>1</v>
      </c>
      <c r="D43" s="141" t="s">
        <v>18</v>
      </c>
      <c r="E43" s="141"/>
      <c r="F43" s="141"/>
      <c r="G43" s="850"/>
      <c r="H43" s="141">
        <v>1000</v>
      </c>
      <c r="I43" s="141">
        <v>220</v>
      </c>
      <c r="J43" s="141"/>
      <c r="K43" s="141"/>
      <c r="L43" s="141"/>
      <c r="M43" s="141"/>
      <c r="N43" s="141"/>
      <c r="O43" s="140"/>
    </row>
    <row r="44" spans="1:15" s="144" customFormat="1" ht="18.75" hidden="1" customHeight="1" x14ac:dyDescent="0.25">
      <c r="A44" s="860"/>
      <c r="B44" s="862"/>
      <c r="C44" s="141">
        <v>1</v>
      </c>
      <c r="D44" s="141" t="s">
        <v>18</v>
      </c>
      <c r="E44" s="141"/>
      <c r="F44" s="141"/>
      <c r="G44" s="850"/>
      <c r="H44" s="141">
        <v>1000</v>
      </c>
      <c r="I44" s="141">
        <v>220</v>
      </c>
      <c r="J44" s="141"/>
      <c r="K44" s="141"/>
      <c r="L44" s="141"/>
      <c r="M44" s="141"/>
      <c r="N44" s="141"/>
      <c r="O44" s="140"/>
    </row>
    <row r="45" spans="1:15" s="144" customFormat="1" ht="18.75" hidden="1" customHeight="1" x14ac:dyDescent="0.25">
      <c r="A45" s="860"/>
      <c r="B45" s="862"/>
      <c r="C45" s="141">
        <v>1</v>
      </c>
      <c r="D45" s="141" t="s">
        <v>5</v>
      </c>
      <c r="E45" s="141"/>
      <c r="F45" s="141"/>
      <c r="G45" s="850"/>
      <c r="H45" s="141">
        <v>2400</v>
      </c>
      <c r="I45" s="143">
        <v>528</v>
      </c>
      <c r="J45" s="141"/>
      <c r="K45" s="141"/>
      <c r="L45" s="141"/>
      <c r="M45" s="141"/>
      <c r="N45" s="141"/>
      <c r="O45" s="140"/>
    </row>
    <row r="46" spans="1:15" s="146" customFormat="1" ht="18.75" hidden="1" customHeight="1" x14ac:dyDescent="0.25">
      <c r="A46" s="860"/>
      <c r="B46" s="862"/>
      <c r="C46" s="141"/>
      <c r="D46" s="141"/>
      <c r="E46" s="141"/>
      <c r="F46" s="141"/>
      <c r="G46" s="850"/>
      <c r="H46" s="137"/>
      <c r="I46" s="137"/>
      <c r="J46" s="141"/>
      <c r="K46" s="141"/>
      <c r="L46" s="141"/>
      <c r="M46" s="137"/>
      <c r="N46" s="137"/>
      <c r="O46" s="140"/>
    </row>
    <row r="47" spans="1:15" s="146" customFormat="1" ht="18.75" customHeight="1" x14ac:dyDescent="0.25">
      <c r="A47" s="860"/>
      <c r="B47" s="862"/>
      <c r="C47" s="147">
        <v>1</v>
      </c>
      <c r="D47" s="147" t="s">
        <v>405</v>
      </c>
      <c r="E47" s="147" t="s">
        <v>406</v>
      </c>
      <c r="F47" s="147" t="s">
        <v>407</v>
      </c>
      <c r="G47" s="147">
        <v>5</v>
      </c>
      <c r="H47" s="148">
        <v>6</v>
      </c>
      <c r="I47" s="148">
        <v>7</v>
      </c>
      <c r="J47" s="148">
        <v>8</v>
      </c>
      <c r="K47" s="148">
        <v>9</v>
      </c>
      <c r="L47" s="148">
        <v>10</v>
      </c>
      <c r="M47" s="148">
        <v>11</v>
      </c>
      <c r="N47" s="148">
        <v>12</v>
      </c>
      <c r="O47" s="149">
        <v>13</v>
      </c>
    </row>
    <row r="48" spans="1:15" s="146" customFormat="1" ht="18.75" customHeight="1" x14ac:dyDescent="0.25">
      <c r="A48" s="860"/>
      <c r="B48" s="862"/>
      <c r="C48" s="137"/>
      <c r="D48" s="137"/>
      <c r="E48" s="137"/>
      <c r="F48" s="137"/>
      <c r="G48" s="137" t="s">
        <v>403</v>
      </c>
      <c r="H48" s="349"/>
      <c r="I48" s="349"/>
      <c r="J48" s="350" t="s">
        <v>337</v>
      </c>
      <c r="K48" s="350" t="s">
        <v>338</v>
      </c>
      <c r="L48" s="350" t="s">
        <v>339</v>
      </c>
      <c r="M48" s="350" t="s">
        <v>340</v>
      </c>
      <c r="N48" s="350" t="s">
        <v>341</v>
      </c>
      <c r="O48" s="351" t="s">
        <v>342</v>
      </c>
    </row>
    <row r="49" spans="1:15" s="105" customFormat="1" ht="20" x14ac:dyDescent="0.2">
      <c r="A49" s="193">
        <v>1</v>
      </c>
      <c r="B49" s="196" t="s">
        <v>408</v>
      </c>
      <c r="C49" s="121"/>
      <c r="D49" s="122"/>
      <c r="E49" s="121"/>
      <c r="F49" s="121"/>
      <c r="G49" s="123"/>
      <c r="H49" s="124"/>
      <c r="I49" s="124"/>
      <c r="J49" s="125"/>
      <c r="K49" s="125"/>
      <c r="L49" s="125"/>
      <c r="M49" s="124"/>
      <c r="N49" s="126"/>
      <c r="O49" s="197"/>
    </row>
    <row r="50" spans="1:15" s="105" customFormat="1" ht="21" x14ac:dyDescent="0.15">
      <c r="A50" s="265">
        <v>1.1000000000000001</v>
      </c>
      <c r="B50" s="195" t="s">
        <v>389</v>
      </c>
      <c r="C50" s="110">
        <v>1</v>
      </c>
      <c r="D50" s="111" t="s">
        <v>5</v>
      </c>
      <c r="E50" s="112">
        <v>30000</v>
      </c>
      <c r="F50" s="112">
        <v>20000</v>
      </c>
      <c r="G50" s="113">
        <v>50000</v>
      </c>
      <c r="H50" s="114">
        <v>0</v>
      </c>
      <c r="I50" s="114">
        <v>0</v>
      </c>
      <c r="J50" s="114">
        <v>0</v>
      </c>
      <c r="K50" s="114">
        <v>0</v>
      </c>
      <c r="L50" s="114">
        <v>2500</v>
      </c>
      <c r="M50" s="114">
        <v>2500</v>
      </c>
      <c r="N50" s="115">
        <v>52500</v>
      </c>
      <c r="O50" s="116">
        <v>52500</v>
      </c>
    </row>
    <row r="51" spans="1:15" s="105" customFormat="1" ht="21" x14ac:dyDescent="0.15">
      <c r="A51" s="265">
        <v>1.2000000000000002</v>
      </c>
      <c r="B51" s="218" t="s">
        <v>388</v>
      </c>
      <c r="C51" s="110">
        <v>1</v>
      </c>
      <c r="D51" s="111" t="s">
        <v>5</v>
      </c>
      <c r="E51" s="112">
        <v>60000</v>
      </c>
      <c r="F51" s="112">
        <v>20000</v>
      </c>
      <c r="G51" s="113">
        <v>80000</v>
      </c>
      <c r="H51" s="114">
        <v>0</v>
      </c>
      <c r="I51" s="114">
        <v>0</v>
      </c>
      <c r="J51" s="114">
        <v>0</v>
      </c>
      <c r="K51" s="114">
        <v>0</v>
      </c>
      <c r="L51" s="114">
        <v>4000</v>
      </c>
      <c r="M51" s="114">
        <v>4000</v>
      </c>
      <c r="N51" s="115">
        <v>84000</v>
      </c>
      <c r="O51" s="116">
        <v>84000</v>
      </c>
    </row>
    <row r="52" spans="1:15" s="105" customFormat="1" ht="21" x14ac:dyDescent="0.15">
      <c r="A52" s="265">
        <v>1.3000000000000003</v>
      </c>
      <c r="B52" s="218" t="s">
        <v>390</v>
      </c>
      <c r="C52" s="110">
        <v>1</v>
      </c>
      <c r="D52" s="111" t="s">
        <v>5</v>
      </c>
      <c r="E52" s="112">
        <v>50000</v>
      </c>
      <c r="F52" s="112">
        <v>30000</v>
      </c>
      <c r="G52" s="113">
        <v>80000</v>
      </c>
      <c r="H52" s="114">
        <v>0</v>
      </c>
      <c r="I52" s="114">
        <v>0</v>
      </c>
      <c r="J52" s="114">
        <v>0</v>
      </c>
      <c r="K52" s="114">
        <v>0</v>
      </c>
      <c r="L52" s="114">
        <v>4000</v>
      </c>
      <c r="M52" s="114">
        <v>4000</v>
      </c>
      <c r="N52" s="115">
        <v>84000</v>
      </c>
      <c r="O52" s="116">
        <v>84000</v>
      </c>
    </row>
    <row r="53" spans="1:15" s="105" customFormat="1" ht="21" x14ac:dyDescent="0.15">
      <c r="A53" s="188"/>
      <c r="B53" s="128"/>
      <c r="C53" s="110"/>
      <c r="D53" s="111"/>
      <c r="E53" s="112"/>
      <c r="F53" s="112"/>
      <c r="G53" s="189"/>
      <c r="H53" s="114"/>
      <c r="I53" s="114"/>
      <c r="J53" s="114"/>
      <c r="K53" s="114"/>
      <c r="L53" s="190"/>
      <c r="M53" s="191" t="s">
        <v>343</v>
      </c>
      <c r="N53" s="120">
        <v>220500</v>
      </c>
      <c r="O53" s="192"/>
    </row>
    <row r="54" spans="1:15" s="105" customFormat="1" ht="21" x14ac:dyDescent="0.15">
      <c r="A54" s="193">
        <v>2</v>
      </c>
      <c r="B54" s="175" t="s">
        <v>707</v>
      </c>
      <c r="C54" s="150"/>
      <c r="D54" s="122"/>
      <c r="E54" s="121"/>
      <c r="F54" s="121"/>
      <c r="G54" s="151"/>
      <c r="H54" s="125"/>
      <c r="I54" s="125"/>
      <c r="J54" s="125"/>
      <c r="K54" s="125"/>
      <c r="L54" s="125"/>
      <c r="M54" s="125"/>
      <c r="N54" s="152"/>
      <c r="O54" s="153"/>
    </row>
    <row r="55" spans="1:15" s="105" customFormat="1" ht="100" x14ac:dyDescent="0.15">
      <c r="A55" s="265">
        <v>2.1</v>
      </c>
      <c r="B55" s="194" t="s">
        <v>867</v>
      </c>
      <c r="C55" s="110">
        <v>1</v>
      </c>
      <c r="D55" s="117" t="s">
        <v>5</v>
      </c>
      <c r="E55" s="112">
        <v>150000</v>
      </c>
      <c r="F55" s="110">
        <v>600000</v>
      </c>
      <c r="G55" s="118">
        <v>750000</v>
      </c>
      <c r="H55" s="114">
        <v>6</v>
      </c>
      <c r="I55" s="114">
        <v>8</v>
      </c>
      <c r="J55" s="114">
        <v>14</v>
      </c>
      <c r="K55" s="114">
        <v>105000.00000000001</v>
      </c>
      <c r="L55" s="114">
        <v>42750</v>
      </c>
      <c r="M55" s="114">
        <v>147750</v>
      </c>
      <c r="N55" s="115">
        <v>897750</v>
      </c>
      <c r="O55" s="116">
        <v>897750</v>
      </c>
    </row>
    <row r="56" spans="1:15" s="105" customFormat="1" ht="21" x14ac:dyDescent="0.15">
      <c r="A56" s="265">
        <v>2.2000000000000002</v>
      </c>
      <c r="B56" s="195" t="s">
        <v>732</v>
      </c>
      <c r="C56" s="110">
        <v>1</v>
      </c>
      <c r="D56" s="117" t="s">
        <v>5</v>
      </c>
      <c r="E56" s="112">
        <v>0</v>
      </c>
      <c r="F56" s="110">
        <v>80000</v>
      </c>
      <c r="G56" s="118">
        <v>80000</v>
      </c>
      <c r="H56" s="114">
        <v>6</v>
      </c>
      <c r="I56" s="114">
        <v>8</v>
      </c>
      <c r="J56" s="114">
        <v>14</v>
      </c>
      <c r="K56" s="114">
        <v>11200.000000000002</v>
      </c>
      <c r="L56" s="114">
        <v>4560</v>
      </c>
      <c r="M56" s="114">
        <v>15760.000000000002</v>
      </c>
      <c r="N56" s="115">
        <v>95760</v>
      </c>
      <c r="O56" s="116">
        <v>95760</v>
      </c>
    </row>
    <row r="57" spans="1:15" s="105" customFormat="1" ht="21" x14ac:dyDescent="0.15">
      <c r="A57" s="265">
        <v>2.3000000000000003</v>
      </c>
      <c r="B57" s="195" t="s">
        <v>420</v>
      </c>
      <c r="C57" s="110">
        <v>1</v>
      </c>
      <c r="D57" s="117" t="s">
        <v>5</v>
      </c>
      <c r="E57" s="112">
        <v>40000</v>
      </c>
      <c r="F57" s="110">
        <v>30000</v>
      </c>
      <c r="G57" s="118">
        <v>70000</v>
      </c>
      <c r="H57" s="114">
        <v>6</v>
      </c>
      <c r="I57" s="114">
        <v>8</v>
      </c>
      <c r="J57" s="114">
        <v>14</v>
      </c>
      <c r="K57" s="114">
        <v>9800.0000000000018</v>
      </c>
      <c r="L57" s="114">
        <v>3990</v>
      </c>
      <c r="M57" s="114">
        <v>13790.000000000002</v>
      </c>
      <c r="N57" s="115">
        <v>83790</v>
      </c>
      <c r="O57" s="116">
        <v>83790</v>
      </c>
    </row>
    <row r="58" spans="1:15" s="105" customFormat="1" ht="21" x14ac:dyDescent="0.15">
      <c r="A58" s="188"/>
      <c r="B58" s="128"/>
      <c r="C58" s="110"/>
      <c r="D58" s="111"/>
      <c r="E58" s="112"/>
      <c r="F58" s="112"/>
      <c r="G58" s="189"/>
      <c r="H58" s="114"/>
      <c r="I58" s="114"/>
      <c r="J58" s="114"/>
      <c r="K58" s="114"/>
      <c r="L58" s="114"/>
      <c r="M58" s="191" t="s">
        <v>343</v>
      </c>
      <c r="N58" s="120">
        <v>1077300</v>
      </c>
      <c r="O58" s="192"/>
    </row>
    <row r="59" spans="1:15" s="105" customFormat="1" ht="20" x14ac:dyDescent="0.2">
      <c r="A59" s="193">
        <v>3</v>
      </c>
      <c r="B59" s="196" t="s">
        <v>411</v>
      </c>
      <c r="C59" s="121"/>
      <c r="D59" s="122"/>
      <c r="E59" s="121"/>
      <c r="F59" s="121"/>
      <c r="G59" s="123"/>
      <c r="H59" s="124"/>
      <c r="I59" s="124"/>
      <c r="J59" s="125"/>
      <c r="K59" s="125"/>
      <c r="L59" s="125"/>
      <c r="M59" s="124"/>
      <c r="N59" s="126"/>
      <c r="O59" s="197"/>
    </row>
    <row r="60" spans="1:15" s="146" customFormat="1" ht="20" x14ac:dyDescent="0.15">
      <c r="A60" s="198">
        <v>3.1</v>
      </c>
      <c r="B60" s="220" t="s">
        <v>416</v>
      </c>
      <c r="C60" s="156"/>
      <c r="D60" s="141"/>
      <c r="E60" s="156"/>
      <c r="F60" s="156"/>
      <c r="G60" s="156"/>
      <c r="H60" s="156"/>
      <c r="I60" s="156"/>
      <c r="J60" s="156"/>
      <c r="K60" s="156"/>
      <c r="L60" s="156"/>
      <c r="M60" s="156"/>
      <c r="N60" s="156"/>
      <c r="O60" s="157"/>
    </row>
    <row r="61" spans="1:15" s="146" customFormat="1" ht="21" x14ac:dyDescent="0.15">
      <c r="A61" s="293" t="s">
        <v>661</v>
      </c>
      <c r="B61" s="155" t="s">
        <v>417</v>
      </c>
      <c r="C61" s="156">
        <v>10</v>
      </c>
      <c r="D61" s="111" t="s">
        <v>637</v>
      </c>
      <c r="E61" s="156">
        <v>0</v>
      </c>
      <c r="F61" s="156">
        <v>200</v>
      </c>
      <c r="G61" s="266">
        <v>200</v>
      </c>
      <c r="H61" s="114">
        <v>6</v>
      </c>
      <c r="I61" s="114">
        <v>8</v>
      </c>
      <c r="J61" s="267">
        <v>14</v>
      </c>
      <c r="K61" s="267">
        <v>28.000000000000004</v>
      </c>
      <c r="L61" s="267">
        <v>11.4</v>
      </c>
      <c r="M61" s="267">
        <v>39.400000000000006</v>
      </c>
      <c r="N61" s="115">
        <v>2394</v>
      </c>
      <c r="O61" s="116">
        <v>239.4</v>
      </c>
    </row>
    <row r="62" spans="1:15" s="6" customFormat="1" ht="21" x14ac:dyDescent="0.15">
      <c r="A62" s="293" t="s">
        <v>662</v>
      </c>
      <c r="B62" s="215" t="s">
        <v>412</v>
      </c>
      <c r="C62" s="159">
        <v>11.75</v>
      </c>
      <c r="D62" s="111" t="s">
        <v>637</v>
      </c>
      <c r="E62" s="160">
        <v>3500</v>
      </c>
      <c r="F62" s="159">
        <v>1000</v>
      </c>
      <c r="G62" s="266">
        <v>4500</v>
      </c>
      <c r="H62" s="114">
        <v>6</v>
      </c>
      <c r="I62" s="114">
        <v>8</v>
      </c>
      <c r="J62" s="267">
        <v>14</v>
      </c>
      <c r="K62" s="267">
        <v>630.00000000000011</v>
      </c>
      <c r="L62" s="267">
        <v>256.5</v>
      </c>
      <c r="M62" s="267">
        <v>886.50000000000011</v>
      </c>
      <c r="N62" s="115">
        <v>63291.38</v>
      </c>
      <c r="O62" s="116">
        <v>5386.5004255319145</v>
      </c>
    </row>
    <row r="63" spans="1:15" s="6" customFormat="1" ht="20" x14ac:dyDescent="0.15">
      <c r="A63" s="293" t="s">
        <v>663</v>
      </c>
      <c r="B63" s="215" t="s">
        <v>413</v>
      </c>
      <c r="C63" s="159"/>
      <c r="D63" s="141"/>
      <c r="E63" s="160"/>
      <c r="F63" s="159"/>
      <c r="G63" s="159"/>
      <c r="H63" s="159"/>
      <c r="I63" s="159"/>
      <c r="J63" s="159"/>
      <c r="K63" s="159"/>
      <c r="L63" s="159"/>
      <c r="M63" s="159"/>
      <c r="N63" s="159"/>
      <c r="O63" s="162"/>
    </row>
    <row r="64" spans="1:15" s="6" customFormat="1" ht="21" x14ac:dyDescent="0.15">
      <c r="A64" s="294" t="s">
        <v>664</v>
      </c>
      <c r="B64" s="216" t="s">
        <v>414</v>
      </c>
      <c r="C64" s="160">
        <v>423.20000000000005</v>
      </c>
      <c r="D64" s="163" t="s">
        <v>298</v>
      </c>
      <c r="E64" s="160">
        <v>48</v>
      </c>
      <c r="F64" s="159">
        <v>10</v>
      </c>
      <c r="G64" s="266">
        <v>58</v>
      </c>
      <c r="H64" s="114">
        <v>6</v>
      </c>
      <c r="I64" s="114">
        <v>8</v>
      </c>
      <c r="J64" s="267">
        <v>14</v>
      </c>
      <c r="K64" s="267">
        <v>8.120000000000001</v>
      </c>
      <c r="L64" s="267">
        <v>3.3060000000000005</v>
      </c>
      <c r="M64" s="267">
        <v>11.426000000000002</v>
      </c>
      <c r="N64" s="115">
        <v>29381.08</v>
      </c>
      <c r="O64" s="116">
        <v>69.425992438563327</v>
      </c>
    </row>
    <row r="65" spans="1:20" s="6" customFormat="1" ht="21" x14ac:dyDescent="0.15">
      <c r="A65" s="294" t="s">
        <v>665</v>
      </c>
      <c r="B65" s="176" t="s">
        <v>350</v>
      </c>
      <c r="C65" s="160">
        <v>4.2320000000000002</v>
      </c>
      <c r="D65" s="163" t="s">
        <v>298</v>
      </c>
      <c r="E65" s="160">
        <v>80</v>
      </c>
      <c r="F65" s="159">
        <v>10</v>
      </c>
      <c r="G65" s="266">
        <v>90</v>
      </c>
      <c r="H65" s="114">
        <v>6</v>
      </c>
      <c r="I65" s="114">
        <v>8</v>
      </c>
      <c r="J65" s="267">
        <v>14</v>
      </c>
      <c r="K65" s="267">
        <v>12.600000000000001</v>
      </c>
      <c r="L65" s="267">
        <v>5.13</v>
      </c>
      <c r="M65" s="267">
        <v>17.73</v>
      </c>
      <c r="N65" s="115">
        <v>455.91</v>
      </c>
      <c r="O65" s="116">
        <v>107.72920604914934</v>
      </c>
    </row>
    <row r="66" spans="1:20" s="6" customFormat="1" ht="21" x14ac:dyDescent="0.15">
      <c r="A66" s="293" t="s">
        <v>666</v>
      </c>
      <c r="B66" s="217" t="s">
        <v>415</v>
      </c>
      <c r="C66" s="160">
        <v>9.3699999999999992</v>
      </c>
      <c r="D66" s="111" t="s">
        <v>637</v>
      </c>
      <c r="E66" s="160">
        <v>900</v>
      </c>
      <c r="F66" s="159">
        <v>100</v>
      </c>
      <c r="G66" s="266">
        <v>1000</v>
      </c>
      <c r="H66" s="114">
        <v>6</v>
      </c>
      <c r="I66" s="114">
        <v>8</v>
      </c>
      <c r="J66" s="267">
        <v>14</v>
      </c>
      <c r="K66" s="267">
        <v>140</v>
      </c>
      <c r="L66" s="267">
        <v>57</v>
      </c>
      <c r="M66" s="267">
        <v>197</v>
      </c>
      <c r="N66" s="115">
        <v>11215.89</v>
      </c>
      <c r="O66" s="116">
        <v>1197</v>
      </c>
    </row>
    <row r="67" spans="1:20" s="6" customFormat="1" ht="21" x14ac:dyDescent="0.15">
      <c r="A67" s="293" t="s">
        <v>667</v>
      </c>
      <c r="B67" s="155" t="s">
        <v>668</v>
      </c>
      <c r="C67" s="160">
        <v>21</v>
      </c>
      <c r="D67" s="111" t="s">
        <v>637</v>
      </c>
      <c r="E67" s="160">
        <v>0</v>
      </c>
      <c r="F67" s="159">
        <v>150</v>
      </c>
      <c r="G67" s="266">
        <v>150</v>
      </c>
      <c r="H67" s="114">
        <v>6</v>
      </c>
      <c r="I67" s="114">
        <v>8</v>
      </c>
      <c r="J67" s="267">
        <v>14</v>
      </c>
      <c r="K67" s="267">
        <v>21.000000000000004</v>
      </c>
      <c r="L67" s="267">
        <v>8.5500000000000007</v>
      </c>
      <c r="M67" s="267">
        <v>29.550000000000004</v>
      </c>
      <c r="N67" s="115">
        <v>3770.55</v>
      </c>
      <c r="O67" s="116">
        <v>179.55</v>
      </c>
    </row>
    <row r="68" spans="1:20" s="6" customFormat="1" ht="21" x14ac:dyDescent="0.15">
      <c r="A68" s="293" t="s">
        <v>669</v>
      </c>
      <c r="B68" s="217" t="s">
        <v>367</v>
      </c>
      <c r="C68" s="160">
        <v>1</v>
      </c>
      <c r="D68" s="163" t="s">
        <v>5</v>
      </c>
      <c r="E68" s="160">
        <v>5000</v>
      </c>
      <c r="F68" s="164">
        <v>3000</v>
      </c>
      <c r="G68" s="266">
        <v>8000</v>
      </c>
      <c r="H68" s="114">
        <v>6</v>
      </c>
      <c r="I68" s="114">
        <v>8</v>
      </c>
      <c r="J68" s="267">
        <v>14</v>
      </c>
      <c r="K68" s="267">
        <v>1120</v>
      </c>
      <c r="L68" s="267">
        <v>456</v>
      </c>
      <c r="M68" s="267">
        <v>1576</v>
      </c>
      <c r="N68" s="115">
        <v>9576</v>
      </c>
      <c r="O68" s="116">
        <v>9576</v>
      </c>
    </row>
    <row r="69" spans="1:20" s="105" customFormat="1" ht="19" x14ac:dyDescent="0.2">
      <c r="A69" s="201"/>
      <c r="B69" s="200"/>
      <c r="C69" s="112"/>
      <c r="D69" s="111"/>
      <c r="E69" s="112"/>
      <c r="F69" s="112"/>
      <c r="G69" s="127"/>
      <c r="H69" s="119"/>
      <c r="I69" s="119"/>
      <c r="J69" s="114"/>
      <c r="K69" s="114"/>
      <c r="L69" s="114"/>
      <c r="M69" s="191" t="s">
        <v>343</v>
      </c>
      <c r="N69" s="120">
        <v>120084.81000000001</v>
      </c>
      <c r="O69" s="199"/>
    </row>
    <row r="70" spans="1:20" s="146" customFormat="1" ht="20" x14ac:dyDescent="0.15">
      <c r="A70" s="198">
        <v>3.2</v>
      </c>
      <c r="B70" s="220" t="s">
        <v>418</v>
      </c>
      <c r="C70" s="156"/>
      <c r="D70" s="141"/>
      <c r="E70" s="156"/>
      <c r="F70" s="156"/>
      <c r="G70" s="156"/>
      <c r="H70" s="156"/>
      <c r="I70" s="156"/>
      <c r="J70" s="156"/>
      <c r="K70" s="156"/>
      <c r="L70" s="156"/>
      <c r="M70" s="156"/>
      <c r="N70" s="156"/>
      <c r="O70" s="157"/>
    </row>
    <row r="71" spans="1:20" s="6" customFormat="1" ht="21" x14ac:dyDescent="0.15">
      <c r="A71" s="293" t="s">
        <v>560</v>
      </c>
      <c r="B71" s="215" t="s">
        <v>412</v>
      </c>
      <c r="C71" s="159">
        <v>6</v>
      </c>
      <c r="D71" s="111" t="s">
        <v>637</v>
      </c>
      <c r="E71" s="160">
        <v>3500</v>
      </c>
      <c r="F71" s="159">
        <v>1000</v>
      </c>
      <c r="G71" s="118">
        <v>4500</v>
      </c>
      <c r="H71" s="114">
        <v>6</v>
      </c>
      <c r="I71" s="114">
        <v>8</v>
      </c>
      <c r="J71" s="114">
        <v>14</v>
      </c>
      <c r="K71" s="114">
        <v>630.00000000000011</v>
      </c>
      <c r="L71" s="114">
        <v>256.5</v>
      </c>
      <c r="M71" s="114">
        <v>886.50000000000011</v>
      </c>
      <c r="N71" s="115">
        <v>32319</v>
      </c>
      <c r="O71" s="116">
        <v>5386.5</v>
      </c>
    </row>
    <row r="72" spans="1:20" s="6" customFormat="1" ht="20" x14ac:dyDescent="0.15">
      <c r="A72" s="293" t="s">
        <v>561</v>
      </c>
      <c r="B72" s="215" t="s">
        <v>413</v>
      </c>
      <c r="C72" s="159"/>
      <c r="D72" s="141"/>
      <c r="E72" s="160"/>
      <c r="F72" s="159"/>
      <c r="G72" s="159"/>
      <c r="H72" s="159"/>
      <c r="I72" s="159"/>
      <c r="J72" s="159"/>
      <c r="K72" s="159"/>
      <c r="L72" s="159"/>
      <c r="M72" s="159"/>
      <c r="N72" s="159"/>
      <c r="O72" s="162"/>
    </row>
    <row r="73" spans="1:20" s="6" customFormat="1" ht="21" x14ac:dyDescent="0.15">
      <c r="A73" s="294" t="s">
        <v>563</v>
      </c>
      <c r="B73" s="216" t="s">
        <v>713</v>
      </c>
      <c r="C73" s="160">
        <v>225.06</v>
      </c>
      <c r="D73" s="163" t="s">
        <v>298</v>
      </c>
      <c r="E73" s="160">
        <v>48</v>
      </c>
      <c r="F73" s="159">
        <v>10</v>
      </c>
      <c r="G73" s="118">
        <v>58</v>
      </c>
      <c r="H73" s="114">
        <v>6</v>
      </c>
      <c r="I73" s="114">
        <v>8</v>
      </c>
      <c r="J73" s="114">
        <v>14</v>
      </c>
      <c r="K73" s="114">
        <v>8.120000000000001</v>
      </c>
      <c r="L73" s="114">
        <v>3.3060000000000005</v>
      </c>
      <c r="M73" s="114">
        <v>11.426000000000002</v>
      </c>
      <c r="N73" s="115">
        <v>15625.02</v>
      </c>
      <c r="O73" s="116">
        <v>69.426019728072518</v>
      </c>
    </row>
    <row r="74" spans="1:20" s="6" customFormat="1" ht="21" x14ac:dyDescent="0.15">
      <c r="A74" s="294" t="s">
        <v>564</v>
      </c>
      <c r="B74" s="216" t="s">
        <v>414</v>
      </c>
      <c r="C74" s="160">
        <v>450.12000000000006</v>
      </c>
      <c r="D74" s="163" t="s">
        <v>298</v>
      </c>
      <c r="E74" s="160">
        <v>48</v>
      </c>
      <c r="F74" s="159">
        <v>10</v>
      </c>
      <c r="G74" s="118">
        <v>58</v>
      </c>
      <c r="H74" s="114">
        <v>6</v>
      </c>
      <c r="I74" s="114">
        <v>8</v>
      </c>
      <c r="J74" s="114">
        <v>14</v>
      </c>
      <c r="K74" s="114">
        <v>8.120000000000001</v>
      </c>
      <c r="L74" s="114">
        <v>3.3060000000000005</v>
      </c>
      <c r="M74" s="114">
        <v>11.426000000000002</v>
      </c>
      <c r="N74" s="115">
        <v>31250.03</v>
      </c>
      <c r="O74" s="116">
        <v>69.425997511774625</v>
      </c>
    </row>
    <row r="75" spans="1:20" s="6" customFormat="1" ht="21" x14ac:dyDescent="0.15">
      <c r="A75" s="294" t="s">
        <v>712</v>
      </c>
      <c r="B75" s="176" t="s">
        <v>350</v>
      </c>
      <c r="C75" s="160">
        <v>6.7518000000000011</v>
      </c>
      <c r="D75" s="163" t="s">
        <v>298</v>
      </c>
      <c r="E75" s="160">
        <v>80</v>
      </c>
      <c r="F75" s="159">
        <v>10</v>
      </c>
      <c r="G75" s="118">
        <v>90</v>
      </c>
      <c r="H75" s="114">
        <v>6</v>
      </c>
      <c r="I75" s="114">
        <v>8</v>
      </c>
      <c r="J75" s="114">
        <v>14</v>
      </c>
      <c r="K75" s="114">
        <v>12.600000000000001</v>
      </c>
      <c r="L75" s="114">
        <v>5.13</v>
      </c>
      <c r="M75" s="114">
        <v>17.73</v>
      </c>
      <c r="N75" s="115">
        <v>727.37</v>
      </c>
      <c r="O75" s="116">
        <v>107.72979057436534</v>
      </c>
    </row>
    <row r="76" spans="1:20" s="6" customFormat="1" ht="21" x14ac:dyDescent="0.15">
      <c r="A76" s="293" t="s">
        <v>562</v>
      </c>
      <c r="B76" s="217" t="s">
        <v>367</v>
      </c>
      <c r="C76" s="160">
        <v>1</v>
      </c>
      <c r="D76" s="163" t="s">
        <v>5</v>
      </c>
      <c r="E76" s="160">
        <v>5000</v>
      </c>
      <c r="F76" s="164">
        <v>3000</v>
      </c>
      <c r="G76" s="118">
        <v>8000</v>
      </c>
      <c r="H76" s="114">
        <v>6</v>
      </c>
      <c r="I76" s="114">
        <v>8</v>
      </c>
      <c r="J76" s="114">
        <v>14</v>
      </c>
      <c r="K76" s="114">
        <v>1120</v>
      </c>
      <c r="L76" s="114">
        <v>456</v>
      </c>
      <c r="M76" s="114">
        <v>1576</v>
      </c>
      <c r="N76" s="115">
        <v>9576</v>
      </c>
      <c r="O76" s="116">
        <v>9576</v>
      </c>
    </row>
    <row r="77" spans="1:20" s="105" customFormat="1" ht="19" x14ac:dyDescent="0.2">
      <c r="A77" s="201"/>
      <c r="B77" s="200"/>
      <c r="C77" s="112"/>
      <c r="D77" s="111"/>
      <c r="E77" s="112"/>
      <c r="F77" s="112"/>
      <c r="G77" s="127"/>
      <c r="H77" s="119"/>
      <c r="I77" s="119"/>
      <c r="J77" s="114"/>
      <c r="K77" s="114"/>
      <c r="L77" s="114"/>
      <c r="M77" s="191" t="s">
        <v>343</v>
      </c>
      <c r="N77" s="120">
        <v>89497.42</v>
      </c>
      <c r="O77" s="199"/>
    </row>
    <row r="78" spans="1:20" s="139" customFormat="1" ht="20" x14ac:dyDescent="0.15">
      <c r="A78" s="198">
        <v>3.3000000000000003</v>
      </c>
      <c r="B78" s="286" t="s">
        <v>700</v>
      </c>
      <c r="C78" s="156"/>
      <c r="D78" s="141"/>
      <c r="E78" s="156"/>
      <c r="F78" s="156"/>
      <c r="G78" s="156"/>
      <c r="H78" s="156"/>
      <c r="I78" s="156"/>
      <c r="J78" s="156"/>
      <c r="K78" s="156"/>
      <c r="L78" s="156"/>
      <c r="M78" s="156"/>
      <c r="N78" s="156"/>
      <c r="O78" s="157"/>
      <c r="P78" s="313"/>
      <c r="Q78" s="313"/>
      <c r="R78" s="138"/>
      <c r="S78" s="138"/>
      <c r="T78" s="158"/>
    </row>
    <row r="79" spans="1:20" s="142" customFormat="1" ht="40" x14ac:dyDescent="0.25">
      <c r="A79" s="322" t="s">
        <v>701</v>
      </c>
      <c r="B79" s="297" t="s">
        <v>862</v>
      </c>
      <c r="C79" s="344">
        <v>252</v>
      </c>
      <c r="D79" s="181" t="s">
        <v>1</v>
      </c>
      <c r="E79" s="345">
        <v>650</v>
      </c>
      <c r="F79" s="345">
        <v>150</v>
      </c>
      <c r="G79" s="161">
        <v>800</v>
      </c>
      <c r="H79" s="161">
        <v>6</v>
      </c>
      <c r="I79" s="161">
        <v>8</v>
      </c>
      <c r="J79" s="161">
        <v>14</v>
      </c>
      <c r="K79" s="161">
        <v>112.00000000000001</v>
      </c>
      <c r="L79" s="161">
        <v>45.6</v>
      </c>
      <c r="M79" s="161">
        <v>157.60000000000002</v>
      </c>
      <c r="N79" s="161">
        <v>241315.20000000001</v>
      </c>
      <c r="O79" s="320">
        <v>957.6</v>
      </c>
    </row>
    <row r="80" spans="1:20" s="142" customFormat="1" ht="40" x14ac:dyDescent="0.25">
      <c r="A80" s="322" t="s">
        <v>702</v>
      </c>
      <c r="B80" s="297" t="s">
        <v>865</v>
      </c>
      <c r="C80" s="344">
        <v>108</v>
      </c>
      <c r="D80" s="181" t="s">
        <v>1</v>
      </c>
      <c r="E80" s="345">
        <v>500</v>
      </c>
      <c r="F80" s="345">
        <v>150</v>
      </c>
      <c r="G80" s="161">
        <v>650</v>
      </c>
      <c r="H80" s="161">
        <v>6</v>
      </c>
      <c r="I80" s="161">
        <v>8</v>
      </c>
      <c r="J80" s="161">
        <v>14</v>
      </c>
      <c r="K80" s="161">
        <v>91.000000000000014</v>
      </c>
      <c r="L80" s="161">
        <v>37.050000000000004</v>
      </c>
      <c r="M80" s="161">
        <v>128.05000000000001</v>
      </c>
      <c r="N80" s="161">
        <v>84029.4</v>
      </c>
      <c r="O80" s="320">
        <v>778.05</v>
      </c>
    </row>
    <row r="81" spans="1:20" s="142" customFormat="1" ht="20" x14ac:dyDescent="0.25">
      <c r="A81" s="322" t="s">
        <v>731</v>
      </c>
      <c r="B81" s="346" t="s">
        <v>859</v>
      </c>
      <c r="C81" s="164">
        <v>1</v>
      </c>
      <c r="D81" s="165" t="s">
        <v>5</v>
      </c>
      <c r="E81" s="161">
        <v>10000</v>
      </c>
      <c r="F81" s="161">
        <v>5000</v>
      </c>
      <c r="G81" s="161">
        <v>15000</v>
      </c>
      <c r="H81" s="161">
        <v>6</v>
      </c>
      <c r="I81" s="161">
        <v>8</v>
      </c>
      <c r="J81" s="161">
        <v>14</v>
      </c>
      <c r="K81" s="161">
        <v>2100</v>
      </c>
      <c r="L81" s="161">
        <v>855</v>
      </c>
      <c r="M81" s="161">
        <v>2955</v>
      </c>
      <c r="N81" s="161">
        <v>17955</v>
      </c>
      <c r="O81" s="320">
        <v>17955</v>
      </c>
    </row>
    <row r="82" spans="1:20" s="142" customFormat="1" ht="40" x14ac:dyDescent="0.25">
      <c r="A82" s="322" t="s">
        <v>866</v>
      </c>
      <c r="B82" s="155" t="s">
        <v>715</v>
      </c>
      <c r="C82" s="164">
        <v>1</v>
      </c>
      <c r="D82" s="165" t="s">
        <v>5</v>
      </c>
      <c r="E82" s="161">
        <v>50000</v>
      </c>
      <c r="F82" s="161">
        <v>20000</v>
      </c>
      <c r="G82" s="161">
        <v>70000</v>
      </c>
      <c r="H82" s="161">
        <v>6</v>
      </c>
      <c r="I82" s="161">
        <v>8</v>
      </c>
      <c r="J82" s="161">
        <v>14</v>
      </c>
      <c r="K82" s="161">
        <v>9800.0000000000018</v>
      </c>
      <c r="L82" s="161">
        <v>3990</v>
      </c>
      <c r="M82" s="161">
        <v>13790.000000000002</v>
      </c>
      <c r="N82" s="161">
        <v>83790</v>
      </c>
      <c r="O82" s="320">
        <v>83790</v>
      </c>
      <c r="P82" s="313"/>
      <c r="Q82" s="313"/>
      <c r="T82" s="158"/>
    </row>
    <row r="83" spans="1:20" s="105" customFormat="1" ht="19" x14ac:dyDescent="0.2">
      <c r="A83" s="201"/>
      <c r="B83" s="200"/>
      <c r="C83" s="112"/>
      <c r="D83" s="111"/>
      <c r="E83" s="112"/>
      <c r="F83" s="112"/>
      <c r="G83" s="127"/>
      <c r="H83" s="119"/>
      <c r="I83" s="119"/>
      <c r="J83" s="114"/>
      <c r="K83" s="114"/>
      <c r="L83" s="114"/>
      <c r="M83" s="191" t="s">
        <v>343</v>
      </c>
      <c r="N83" s="120">
        <v>427089.6</v>
      </c>
      <c r="O83" s="199"/>
    </row>
    <row r="84" spans="1:20" s="105" customFormat="1" ht="20" x14ac:dyDescent="0.2">
      <c r="A84" s="193">
        <v>4</v>
      </c>
      <c r="B84" s="196" t="s">
        <v>409</v>
      </c>
      <c r="C84" s="121"/>
      <c r="D84" s="122"/>
      <c r="E84" s="121"/>
      <c r="F84" s="121"/>
      <c r="G84" s="123"/>
      <c r="H84" s="124"/>
      <c r="I84" s="124"/>
      <c r="J84" s="125"/>
      <c r="K84" s="125"/>
      <c r="L84" s="125"/>
      <c r="M84" s="124"/>
      <c r="N84" s="126"/>
      <c r="O84" s="197"/>
    </row>
    <row r="85" spans="1:20" s="105" customFormat="1" ht="40" x14ac:dyDescent="0.15">
      <c r="A85" s="265">
        <v>4.0999999999999996</v>
      </c>
      <c r="B85" s="221" t="s">
        <v>703</v>
      </c>
      <c r="C85" s="112">
        <v>650</v>
      </c>
      <c r="D85" s="111" t="s">
        <v>892</v>
      </c>
      <c r="E85" s="112">
        <v>500</v>
      </c>
      <c r="F85" s="112">
        <v>150</v>
      </c>
      <c r="G85" s="118">
        <v>650</v>
      </c>
      <c r="H85" s="114">
        <v>6</v>
      </c>
      <c r="I85" s="114">
        <v>8</v>
      </c>
      <c r="J85" s="114">
        <v>14</v>
      </c>
      <c r="K85" s="114">
        <v>91.000000000000014</v>
      </c>
      <c r="L85" s="114">
        <v>37.050000000000004</v>
      </c>
      <c r="M85" s="114">
        <v>128.05000000000001</v>
      </c>
      <c r="N85" s="115">
        <v>505732.5</v>
      </c>
      <c r="O85" s="116">
        <v>778.05</v>
      </c>
    </row>
    <row r="86" spans="1:20" s="105" customFormat="1" ht="21" x14ac:dyDescent="0.15">
      <c r="A86" s="265">
        <v>4.1999999999999993</v>
      </c>
      <c r="B86" s="222" t="s">
        <v>410</v>
      </c>
      <c r="C86" s="112">
        <v>1350</v>
      </c>
      <c r="D86" s="111" t="s">
        <v>892</v>
      </c>
      <c r="E86" s="112">
        <v>100</v>
      </c>
      <c r="F86" s="112">
        <v>100</v>
      </c>
      <c r="G86" s="118">
        <v>200</v>
      </c>
      <c r="H86" s="114">
        <v>6</v>
      </c>
      <c r="I86" s="114">
        <v>8</v>
      </c>
      <c r="J86" s="114">
        <v>14</v>
      </c>
      <c r="K86" s="114">
        <v>28.000000000000004</v>
      </c>
      <c r="L86" s="114">
        <v>11.4</v>
      </c>
      <c r="M86" s="114">
        <v>39.400000000000006</v>
      </c>
      <c r="N86" s="115">
        <v>323190</v>
      </c>
      <c r="O86" s="116">
        <v>239.4</v>
      </c>
    </row>
    <row r="87" spans="1:20" s="105" customFormat="1" ht="19" x14ac:dyDescent="0.2">
      <c r="A87" s="201"/>
      <c r="B87" s="200"/>
      <c r="C87" s="112"/>
      <c r="D87" s="111"/>
      <c r="E87" s="112"/>
      <c r="F87" s="112"/>
      <c r="G87" s="127"/>
      <c r="H87" s="119"/>
      <c r="I87" s="119"/>
      <c r="J87" s="114"/>
      <c r="K87" s="114"/>
      <c r="L87" s="114"/>
      <c r="M87" s="191" t="s">
        <v>343</v>
      </c>
      <c r="N87" s="120">
        <v>828922.5</v>
      </c>
      <c r="O87" s="199"/>
    </row>
    <row r="88" spans="1:20" s="105" customFormat="1" ht="20" x14ac:dyDescent="0.2">
      <c r="A88" s="193">
        <v>5</v>
      </c>
      <c r="B88" s="196" t="s">
        <v>597</v>
      </c>
      <c r="C88" s="121"/>
      <c r="D88" s="122"/>
      <c r="E88" s="121"/>
      <c r="F88" s="121"/>
      <c r="G88" s="123"/>
      <c r="H88" s="124"/>
      <c r="I88" s="124"/>
      <c r="J88" s="125"/>
      <c r="K88" s="125"/>
      <c r="L88" s="125"/>
      <c r="M88" s="124"/>
      <c r="N88" s="126"/>
      <c r="O88" s="197"/>
    </row>
    <row r="89" spans="1:20" s="105" customFormat="1" ht="21" x14ac:dyDescent="0.15">
      <c r="A89" s="265">
        <v>5.0999999999999996</v>
      </c>
      <c r="B89" s="222" t="s">
        <v>491</v>
      </c>
      <c r="C89" s="112">
        <v>2832.75</v>
      </c>
      <c r="D89" s="111" t="s">
        <v>892</v>
      </c>
      <c r="E89" s="112">
        <v>700</v>
      </c>
      <c r="F89" s="112">
        <v>200</v>
      </c>
      <c r="G89" s="118">
        <v>900</v>
      </c>
      <c r="H89" s="114">
        <v>6</v>
      </c>
      <c r="I89" s="114">
        <v>8</v>
      </c>
      <c r="J89" s="114">
        <v>14</v>
      </c>
      <c r="K89" s="114">
        <v>126.00000000000001</v>
      </c>
      <c r="L89" s="114">
        <v>51.300000000000004</v>
      </c>
      <c r="M89" s="114">
        <v>177.3</v>
      </c>
      <c r="N89" s="115">
        <v>3051721.58</v>
      </c>
      <c r="O89" s="116">
        <v>1077.3000017650693</v>
      </c>
    </row>
    <row r="90" spans="1:20" s="105" customFormat="1" ht="21" x14ac:dyDescent="0.15">
      <c r="A90" s="265">
        <v>5.1999999999999993</v>
      </c>
      <c r="B90" s="222" t="s">
        <v>490</v>
      </c>
      <c r="C90" s="112">
        <v>378</v>
      </c>
      <c r="D90" s="111" t="s">
        <v>892</v>
      </c>
      <c r="E90" s="112">
        <v>700</v>
      </c>
      <c r="F90" s="112">
        <v>200</v>
      </c>
      <c r="G90" s="118">
        <v>900</v>
      </c>
      <c r="H90" s="114">
        <v>6</v>
      </c>
      <c r="I90" s="114">
        <v>8</v>
      </c>
      <c r="J90" s="114">
        <v>14</v>
      </c>
      <c r="K90" s="114">
        <v>126.00000000000001</v>
      </c>
      <c r="L90" s="114">
        <v>51.300000000000004</v>
      </c>
      <c r="M90" s="114">
        <v>177.3</v>
      </c>
      <c r="N90" s="115">
        <v>407219.4</v>
      </c>
      <c r="O90" s="116">
        <v>1077.3</v>
      </c>
    </row>
    <row r="91" spans="1:20" s="105" customFormat="1" ht="21" x14ac:dyDescent="0.15">
      <c r="A91" s="265">
        <v>5.2999999999999989</v>
      </c>
      <c r="B91" s="222" t="s">
        <v>565</v>
      </c>
      <c r="C91" s="112">
        <v>805.5</v>
      </c>
      <c r="D91" s="111" t="s">
        <v>892</v>
      </c>
      <c r="E91" s="112">
        <v>700</v>
      </c>
      <c r="F91" s="112">
        <v>200</v>
      </c>
      <c r="G91" s="118">
        <v>900</v>
      </c>
      <c r="H91" s="114">
        <v>6</v>
      </c>
      <c r="I91" s="114">
        <v>8</v>
      </c>
      <c r="J91" s="114">
        <v>14</v>
      </c>
      <c r="K91" s="114">
        <v>126.00000000000001</v>
      </c>
      <c r="L91" s="114">
        <v>51.300000000000004</v>
      </c>
      <c r="M91" s="114">
        <v>177.3</v>
      </c>
      <c r="N91" s="115">
        <v>867765.15</v>
      </c>
      <c r="O91" s="116">
        <v>1077.3</v>
      </c>
    </row>
    <row r="92" spans="1:20" s="105" customFormat="1" ht="21" x14ac:dyDescent="0.15">
      <c r="A92" s="265">
        <v>5.3999999999999986</v>
      </c>
      <c r="B92" s="194" t="s">
        <v>704</v>
      </c>
      <c r="C92" s="112">
        <v>127.875</v>
      </c>
      <c r="D92" s="111" t="s">
        <v>892</v>
      </c>
      <c r="E92" s="112">
        <v>900</v>
      </c>
      <c r="F92" s="112">
        <v>200</v>
      </c>
      <c r="G92" s="118">
        <v>1100</v>
      </c>
      <c r="H92" s="114">
        <v>6</v>
      </c>
      <c r="I92" s="114">
        <v>8</v>
      </c>
      <c r="J92" s="114">
        <v>14</v>
      </c>
      <c r="K92" s="114">
        <v>154.00000000000003</v>
      </c>
      <c r="L92" s="114">
        <v>62.7</v>
      </c>
      <c r="M92" s="114">
        <v>216.70000000000005</v>
      </c>
      <c r="N92" s="115">
        <v>168373.01</v>
      </c>
      <c r="O92" s="116">
        <v>1316.6999804496579</v>
      </c>
    </row>
    <row r="93" spans="1:20" s="105" customFormat="1" ht="21" x14ac:dyDescent="0.15">
      <c r="A93" s="265">
        <v>5.4999999999999982</v>
      </c>
      <c r="B93" s="222" t="s">
        <v>705</v>
      </c>
      <c r="C93" s="112">
        <v>700</v>
      </c>
      <c r="D93" s="111" t="s">
        <v>892</v>
      </c>
      <c r="E93" s="112">
        <v>400</v>
      </c>
      <c r="F93" s="112">
        <v>100</v>
      </c>
      <c r="G93" s="118">
        <v>500</v>
      </c>
      <c r="H93" s="114">
        <v>6</v>
      </c>
      <c r="I93" s="114">
        <v>8</v>
      </c>
      <c r="J93" s="114">
        <v>14</v>
      </c>
      <c r="K93" s="114">
        <v>70</v>
      </c>
      <c r="L93" s="114">
        <v>28.5</v>
      </c>
      <c r="M93" s="114">
        <v>98.5</v>
      </c>
      <c r="N93" s="115">
        <v>418950</v>
      </c>
      <c r="O93" s="116">
        <v>598.5</v>
      </c>
    </row>
    <row r="94" spans="1:20" s="105" customFormat="1" ht="60" x14ac:dyDescent="0.15">
      <c r="A94" s="265">
        <v>5.5999999999999979</v>
      </c>
      <c r="B94" s="195" t="s">
        <v>395</v>
      </c>
      <c r="C94" s="110">
        <v>167.5</v>
      </c>
      <c r="D94" s="111" t="s">
        <v>892</v>
      </c>
      <c r="E94" s="112">
        <v>500</v>
      </c>
      <c r="F94" s="112">
        <v>350</v>
      </c>
      <c r="G94" s="118">
        <v>850</v>
      </c>
      <c r="H94" s="114">
        <v>6</v>
      </c>
      <c r="I94" s="114">
        <v>8</v>
      </c>
      <c r="J94" s="114">
        <v>14</v>
      </c>
      <c r="K94" s="114">
        <v>119.00000000000001</v>
      </c>
      <c r="L94" s="114">
        <v>48.45</v>
      </c>
      <c r="M94" s="114">
        <v>167.45000000000002</v>
      </c>
      <c r="N94" s="115">
        <v>170422.88</v>
      </c>
      <c r="O94" s="116">
        <v>1017.4500298507463</v>
      </c>
    </row>
    <row r="95" spans="1:20" s="105" customFormat="1" ht="21" x14ac:dyDescent="0.15">
      <c r="A95" s="265">
        <v>5.6999999999999975</v>
      </c>
      <c r="B95" s="222" t="s">
        <v>554</v>
      </c>
      <c r="C95" s="112">
        <v>37.5</v>
      </c>
      <c r="D95" s="111" t="s">
        <v>892</v>
      </c>
      <c r="E95" s="112">
        <v>1600</v>
      </c>
      <c r="F95" s="112">
        <v>600</v>
      </c>
      <c r="G95" s="118">
        <v>2200</v>
      </c>
      <c r="H95" s="114">
        <v>6</v>
      </c>
      <c r="I95" s="114">
        <v>8</v>
      </c>
      <c r="J95" s="114">
        <v>14</v>
      </c>
      <c r="K95" s="114">
        <v>308.00000000000006</v>
      </c>
      <c r="L95" s="114">
        <v>125.4</v>
      </c>
      <c r="M95" s="114">
        <v>433.40000000000009</v>
      </c>
      <c r="N95" s="115">
        <v>98752.5</v>
      </c>
      <c r="O95" s="116">
        <v>2633.4</v>
      </c>
    </row>
    <row r="96" spans="1:20" s="142" customFormat="1" ht="40" x14ac:dyDescent="0.25">
      <c r="A96" s="265">
        <v>5.7999999999999972</v>
      </c>
      <c r="B96" s="214" t="s">
        <v>596</v>
      </c>
      <c r="C96" s="156">
        <v>344</v>
      </c>
      <c r="D96" s="111" t="s">
        <v>892</v>
      </c>
      <c r="E96" s="156">
        <v>250</v>
      </c>
      <c r="F96" s="161">
        <v>150</v>
      </c>
      <c r="G96" s="118">
        <v>400</v>
      </c>
      <c r="H96" s="114">
        <v>6</v>
      </c>
      <c r="I96" s="114">
        <v>8</v>
      </c>
      <c r="J96" s="114">
        <v>14</v>
      </c>
      <c r="K96" s="114">
        <v>56.000000000000007</v>
      </c>
      <c r="L96" s="114">
        <v>22.8</v>
      </c>
      <c r="M96" s="114">
        <v>78.800000000000011</v>
      </c>
      <c r="N96" s="115">
        <v>164707.20000000001</v>
      </c>
      <c r="O96" s="116">
        <v>478.8</v>
      </c>
    </row>
    <row r="97" spans="1:15" s="105" customFormat="1" ht="19" x14ac:dyDescent="0.2">
      <c r="A97" s="188"/>
      <c r="B97" s="202"/>
      <c r="C97" s="112"/>
      <c r="D97" s="111"/>
      <c r="E97" s="112"/>
      <c r="F97" s="112"/>
      <c r="G97" s="127"/>
      <c r="H97" s="119"/>
      <c r="I97" s="119"/>
      <c r="J97" s="114"/>
      <c r="K97" s="114"/>
      <c r="L97" s="114"/>
      <c r="M97" s="191" t="s">
        <v>343</v>
      </c>
      <c r="N97" s="120">
        <v>5347911.72</v>
      </c>
      <c r="O97" s="199"/>
    </row>
    <row r="98" spans="1:15" s="105" customFormat="1" ht="21" x14ac:dyDescent="0.15">
      <c r="A98" s="198">
        <v>5.9</v>
      </c>
      <c r="B98" s="286" t="s">
        <v>598</v>
      </c>
      <c r="C98" s="112"/>
      <c r="D98" s="111"/>
      <c r="E98" s="112"/>
      <c r="F98" s="112"/>
      <c r="G98" s="118"/>
      <c r="H98" s="114"/>
      <c r="I98" s="114"/>
      <c r="J98" s="114"/>
      <c r="K98" s="114"/>
      <c r="L98" s="114"/>
      <c r="M98" s="114"/>
      <c r="N98" s="115"/>
      <c r="O98" s="116"/>
    </row>
    <row r="99" spans="1:15" s="105" customFormat="1" ht="21" x14ac:dyDescent="0.15">
      <c r="A99" s="293" t="s">
        <v>634</v>
      </c>
      <c r="B99" s="154" t="s">
        <v>487</v>
      </c>
      <c r="C99" s="112">
        <v>483</v>
      </c>
      <c r="D99" s="111" t="s">
        <v>892</v>
      </c>
      <c r="E99" s="112">
        <v>350</v>
      </c>
      <c r="F99" s="112">
        <v>100</v>
      </c>
      <c r="G99" s="118">
        <v>450</v>
      </c>
      <c r="H99" s="114">
        <v>6</v>
      </c>
      <c r="I99" s="114">
        <v>8</v>
      </c>
      <c r="J99" s="114">
        <v>14</v>
      </c>
      <c r="K99" s="114">
        <v>63.000000000000007</v>
      </c>
      <c r="L99" s="114">
        <v>25.650000000000002</v>
      </c>
      <c r="M99" s="114">
        <v>88.65</v>
      </c>
      <c r="N99" s="115">
        <v>260167.95</v>
      </c>
      <c r="O99" s="116">
        <v>538.65</v>
      </c>
    </row>
    <row r="100" spans="1:15" s="105" customFormat="1" ht="21" x14ac:dyDescent="0.15">
      <c r="A100" s="293" t="s">
        <v>635</v>
      </c>
      <c r="B100" s="217" t="s">
        <v>704</v>
      </c>
      <c r="C100" s="112">
        <v>543</v>
      </c>
      <c r="D100" s="111" t="s">
        <v>892</v>
      </c>
      <c r="E100" s="112">
        <v>900</v>
      </c>
      <c r="F100" s="112">
        <v>200</v>
      </c>
      <c r="G100" s="118">
        <v>1100</v>
      </c>
      <c r="H100" s="114">
        <v>6</v>
      </c>
      <c r="I100" s="114">
        <v>8</v>
      </c>
      <c r="J100" s="114">
        <v>14</v>
      </c>
      <c r="K100" s="114">
        <v>154.00000000000003</v>
      </c>
      <c r="L100" s="114">
        <v>62.7</v>
      </c>
      <c r="M100" s="114">
        <v>216.70000000000005</v>
      </c>
      <c r="N100" s="115">
        <v>714968.1</v>
      </c>
      <c r="O100" s="116">
        <v>1316.7</v>
      </c>
    </row>
    <row r="101" spans="1:15" s="105" customFormat="1" ht="21" x14ac:dyDescent="0.15">
      <c r="A101" s="293" t="s">
        <v>636</v>
      </c>
      <c r="B101" s="154" t="s">
        <v>706</v>
      </c>
      <c r="C101" s="112">
        <v>324</v>
      </c>
      <c r="D101" s="111" t="s">
        <v>98</v>
      </c>
      <c r="E101" s="112">
        <v>400</v>
      </c>
      <c r="F101" s="112">
        <v>100</v>
      </c>
      <c r="G101" s="118">
        <v>500</v>
      </c>
      <c r="H101" s="114">
        <v>6</v>
      </c>
      <c r="I101" s="114">
        <v>8</v>
      </c>
      <c r="J101" s="114">
        <v>14</v>
      </c>
      <c r="K101" s="114">
        <v>70</v>
      </c>
      <c r="L101" s="114">
        <v>28.5</v>
      </c>
      <c r="M101" s="114">
        <v>98.5</v>
      </c>
      <c r="N101" s="115">
        <v>193914</v>
      </c>
      <c r="O101" s="116">
        <v>598.5</v>
      </c>
    </row>
    <row r="102" spans="1:15" s="105" customFormat="1" ht="21" x14ac:dyDescent="0.15">
      <c r="A102" s="293" t="s">
        <v>724</v>
      </c>
      <c r="B102" s="154" t="s">
        <v>489</v>
      </c>
      <c r="C102" s="112">
        <v>663</v>
      </c>
      <c r="D102" s="163" t="s">
        <v>98</v>
      </c>
      <c r="E102" s="112">
        <v>195</v>
      </c>
      <c r="F102" s="112">
        <v>58.5</v>
      </c>
      <c r="G102" s="118">
        <v>253.5</v>
      </c>
      <c r="H102" s="114">
        <v>6</v>
      </c>
      <c r="I102" s="114">
        <v>8</v>
      </c>
      <c r="J102" s="114">
        <v>14</v>
      </c>
      <c r="K102" s="114">
        <v>35.49</v>
      </c>
      <c r="L102" s="114">
        <v>14.4495</v>
      </c>
      <c r="M102" s="114">
        <v>49.939500000000002</v>
      </c>
      <c r="N102" s="115">
        <v>201180.39</v>
      </c>
      <c r="O102" s="116">
        <v>303.43950226244345</v>
      </c>
    </row>
    <row r="103" spans="1:15" s="105" customFormat="1" ht="21" x14ac:dyDescent="0.15">
      <c r="A103" s="293" t="s">
        <v>725</v>
      </c>
      <c r="B103" s="154" t="s">
        <v>628</v>
      </c>
      <c r="C103" s="112">
        <v>612</v>
      </c>
      <c r="D103" s="163" t="s">
        <v>98</v>
      </c>
      <c r="E103" s="112">
        <v>140</v>
      </c>
      <c r="F103" s="112">
        <v>42</v>
      </c>
      <c r="G103" s="118">
        <v>182</v>
      </c>
      <c r="H103" s="114">
        <v>6</v>
      </c>
      <c r="I103" s="114">
        <v>8</v>
      </c>
      <c r="J103" s="114">
        <v>14</v>
      </c>
      <c r="K103" s="114">
        <v>25.480000000000004</v>
      </c>
      <c r="L103" s="114">
        <v>10.374000000000002</v>
      </c>
      <c r="M103" s="114">
        <v>35.854000000000006</v>
      </c>
      <c r="N103" s="115">
        <v>133326.65</v>
      </c>
      <c r="O103" s="116">
        <v>217.85400326797384</v>
      </c>
    </row>
    <row r="104" spans="1:15" s="105" customFormat="1" ht="21" x14ac:dyDescent="0.15">
      <c r="A104" s="293" t="s">
        <v>726</v>
      </c>
      <c r="B104" s="154" t="s">
        <v>488</v>
      </c>
      <c r="C104" s="112">
        <v>2148</v>
      </c>
      <c r="D104" s="163" t="s">
        <v>98</v>
      </c>
      <c r="E104" s="112">
        <v>110</v>
      </c>
      <c r="F104" s="112">
        <v>33</v>
      </c>
      <c r="G104" s="118">
        <v>143</v>
      </c>
      <c r="H104" s="114">
        <v>6</v>
      </c>
      <c r="I104" s="114">
        <v>8</v>
      </c>
      <c r="J104" s="114">
        <v>14</v>
      </c>
      <c r="K104" s="114">
        <v>20.020000000000003</v>
      </c>
      <c r="L104" s="114">
        <v>8.1510000000000016</v>
      </c>
      <c r="M104" s="114">
        <v>28.171000000000006</v>
      </c>
      <c r="N104" s="115">
        <v>367675.31</v>
      </c>
      <c r="O104" s="116">
        <v>171.17100093109869</v>
      </c>
    </row>
    <row r="105" spans="1:15" s="105" customFormat="1" ht="21" x14ac:dyDescent="0.15">
      <c r="A105" s="293" t="s">
        <v>727</v>
      </c>
      <c r="B105" s="215" t="s">
        <v>349</v>
      </c>
      <c r="C105" s="112">
        <v>1</v>
      </c>
      <c r="D105" s="111" t="s">
        <v>5</v>
      </c>
      <c r="E105" s="112">
        <v>15000</v>
      </c>
      <c r="F105" s="112">
        <v>10000</v>
      </c>
      <c r="G105" s="118">
        <v>25000</v>
      </c>
      <c r="H105" s="114">
        <v>6</v>
      </c>
      <c r="I105" s="114">
        <v>8</v>
      </c>
      <c r="J105" s="114">
        <v>14</v>
      </c>
      <c r="K105" s="114">
        <v>3500.0000000000005</v>
      </c>
      <c r="L105" s="114">
        <v>1425</v>
      </c>
      <c r="M105" s="114">
        <v>4925</v>
      </c>
      <c r="N105" s="115">
        <v>29925</v>
      </c>
      <c r="O105" s="116">
        <v>29925</v>
      </c>
    </row>
    <row r="106" spans="1:15" s="105" customFormat="1" ht="19" x14ac:dyDescent="0.2">
      <c r="A106" s="188"/>
      <c r="B106" s="202"/>
      <c r="C106" s="112"/>
      <c r="D106" s="111"/>
      <c r="E106" s="112"/>
      <c r="F106" s="112"/>
      <c r="G106" s="127"/>
      <c r="H106" s="119"/>
      <c r="I106" s="119"/>
      <c r="J106" s="114"/>
      <c r="K106" s="114"/>
      <c r="L106" s="114"/>
      <c r="M106" s="191" t="s">
        <v>343</v>
      </c>
      <c r="N106" s="120">
        <v>1901157.4</v>
      </c>
      <c r="O106" s="199"/>
    </row>
    <row r="107" spans="1:15" s="105" customFormat="1" ht="20" x14ac:dyDescent="0.2">
      <c r="A107" s="193">
        <v>6</v>
      </c>
      <c r="B107" s="196" t="s">
        <v>632</v>
      </c>
      <c r="C107" s="121"/>
      <c r="D107" s="122"/>
      <c r="E107" s="121"/>
      <c r="F107" s="121"/>
      <c r="G107" s="123"/>
      <c r="H107" s="124"/>
      <c r="I107" s="124"/>
      <c r="J107" s="125"/>
      <c r="K107" s="125"/>
      <c r="L107" s="125"/>
      <c r="M107" s="124"/>
      <c r="N107" s="126"/>
      <c r="O107" s="197"/>
    </row>
    <row r="108" spans="1:15" s="142" customFormat="1" ht="21" x14ac:dyDescent="0.25">
      <c r="A108" s="198">
        <v>6.1</v>
      </c>
      <c r="B108" s="220" t="s">
        <v>743</v>
      </c>
      <c r="C108" s="156"/>
      <c r="D108" s="111"/>
      <c r="E108" s="156"/>
      <c r="F108" s="156"/>
      <c r="G108" s="118"/>
      <c r="H108" s="114"/>
      <c r="I108" s="114"/>
      <c r="J108" s="114"/>
      <c r="K108" s="114"/>
      <c r="L108" s="114"/>
      <c r="M108" s="114"/>
      <c r="N108" s="115"/>
      <c r="O108" s="116"/>
    </row>
    <row r="109" spans="1:15" s="105" customFormat="1" ht="21" x14ac:dyDescent="0.15">
      <c r="A109" s="293" t="s">
        <v>749</v>
      </c>
      <c r="B109" s="217" t="s">
        <v>601</v>
      </c>
      <c r="C109" s="112">
        <v>2253.75</v>
      </c>
      <c r="D109" s="111" t="s">
        <v>892</v>
      </c>
      <c r="E109" s="112">
        <v>950</v>
      </c>
      <c r="F109" s="112">
        <v>250</v>
      </c>
      <c r="G109" s="118">
        <v>1200</v>
      </c>
      <c r="H109" s="114">
        <v>6</v>
      </c>
      <c r="I109" s="114">
        <v>8</v>
      </c>
      <c r="J109" s="114">
        <v>14</v>
      </c>
      <c r="K109" s="114">
        <v>168.00000000000003</v>
      </c>
      <c r="L109" s="114">
        <v>68.400000000000006</v>
      </c>
      <c r="M109" s="114">
        <v>236.40000000000003</v>
      </c>
      <c r="N109" s="115">
        <v>3237286.5</v>
      </c>
      <c r="O109" s="116">
        <v>1436.4</v>
      </c>
    </row>
    <row r="110" spans="1:15" s="105" customFormat="1" ht="21" x14ac:dyDescent="0.15">
      <c r="A110" s="293" t="s">
        <v>750</v>
      </c>
      <c r="B110" s="217" t="s">
        <v>600</v>
      </c>
      <c r="C110" s="112">
        <v>828</v>
      </c>
      <c r="D110" s="111" t="s">
        <v>892</v>
      </c>
      <c r="E110" s="112">
        <v>800</v>
      </c>
      <c r="F110" s="112">
        <v>250</v>
      </c>
      <c r="G110" s="118">
        <v>1050</v>
      </c>
      <c r="H110" s="114">
        <v>6</v>
      </c>
      <c r="I110" s="114">
        <v>8</v>
      </c>
      <c r="J110" s="114">
        <v>14</v>
      </c>
      <c r="K110" s="114">
        <v>147</v>
      </c>
      <c r="L110" s="114">
        <v>59.85</v>
      </c>
      <c r="M110" s="114">
        <v>206.85</v>
      </c>
      <c r="N110" s="115">
        <v>1040671.8</v>
      </c>
      <c r="O110" s="116">
        <v>1256.8500000000001</v>
      </c>
    </row>
    <row r="111" spans="1:15" s="105" customFormat="1" ht="21" x14ac:dyDescent="0.15">
      <c r="A111" s="293" t="s">
        <v>751</v>
      </c>
      <c r="B111" s="217" t="s">
        <v>599</v>
      </c>
      <c r="C111" s="112">
        <v>1533</v>
      </c>
      <c r="D111" s="111" t="s">
        <v>892</v>
      </c>
      <c r="E111" s="112">
        <v>800</v>
      </c>
      <c r="F111" s="112">
        <v>250</v>
      </c>
      <c r="G111" s="118">
        <v>1050</v>
      </c>
      <c r="H111" s="114">
        <v>6</v>
      </c>
      <c r="I111" s="114">
        <v>8</v>
      </c>
      <c r="J111" s="114">
        <v>14</v>
      </c>
      <c r="K111" s="114">
        <v>147</v>
      </c>
      <c r="L111" s="114">
        <v>59.85</v>
      </c>
      <c r="M111" s="114">
        <v>206.85</v>
      </c>
      <c r="N111" s="115">
        <v>1926751.05</v>
      </c>
      <c r="O111" s="116">
        <v>1256.8500000000001</v>
      </c>
    </row>
    <row r="112" spans="1:15" s="142" customFormat="1" ht="40" x14ac:dyDescent="0.25">
      <c r="A112" s="293" t="s">
        <v>752</v>
      </c>
      <c r="B112" s="318" t="s">
        <v>419</v>
      </c>
      <c r="C112" s="156">
        <v>100</v>
      </c>
      <c r="D112" s="111" t="s">
        <v>892</v>
      </c>
      <c r="E112" s="156">
        <v>600</v>
      </c>
      <c r="F112" s="156">
        <v>200</v>
      </c>
      <c r="G112" s="118">
        <v>800</v>
      </c>
      <c r="H112" s="114">
        <v>6</v>
      </c>
      <c r="I112" s="114">
        <v>8</v>
      </c>
      <c r="J112" s="114">
        <v>14</v>
      </c>
      <c r="K112" s="114">
        <v>112.00000000000001</v>
      </c>
      <c r="L112" s="114">
        <v>45.6</v>
      </c>
      <c r="M112" s="114">
        <v>157.60000000000002</v>
      </c>
      <c r="N112" s="115">
        <v>95760</v>
      </c>
      <c r="O112" s="116">
        <v>957.6</v>
      </c>
    </row>
    <row r="113" spans="1:15" s="105" customFormat="1" ht="19" x14ac:dyDescent="0.2">
      <c r="A113" s="188"/>
      <c r="B113" s="128"/>
      <c r="C113" s="112"/>
      <c r="D113" s="111"/>
      <c r="E113" s="112"/>
      <c r="F113" s="112"/>
      <c r="G113" s="127"/>
      <c r="H113" s="119"/>
      <c r="I113" s="119"/>
      <c r="J113" s="114"/>
      <c r="K113" s="114"/>
      <c r="L113" s="114"/>
      <c r="M113" s="191" t="s">
        <v>343</v>
      </c>
      <c r="N113" s="120">
        <v>6300469.3499999996</v>
      </c>
      <c r="O113" s="199"/>
    </row>
    <row r="114" spans="1:15" s="142" customFormat="1" ht="21" x14ac:dyDescent="0.25">
      <c r="A114" s="198">
        <v>6.1999999999999993</v>
      </c>
      <c r="B114" s="220" t="s">
        <v>736</v>
      </c>
      <c r="C114" s="156"/>
      <c r="D114" s="111"/>
      <c r="E114" s="156"/>
      <c r="F114" s="156"/>
      <c r="G114" s="118"/>
      <c r="H114" s="114"/>
      <c r="I114" s="114"/>
      <c r="J114" s="114"/>
      <c r="K114" s="114"/>
      <c r="L114" s="114"/>
      <c r="M114" s="114"/>
      <c r="N114" s="115"/>
      <c r="O114" s="116"/>
    </row>
    <row r="115" spans="1:15" s="105" customFormat="1" ht="21" x14ac:dyDescent="0.15">
      <c r="A115" s="293" t="s">
        <v>753</v>
      </c>
      <c r="B115" s="155" t="s">
        <v>548</v>
      </c>
      <c r="C115" s="164">
        <v>330</v>
      </c>
      <c r="D115" s="111" t="s">
        <v>892</v>
      </c>
      <c r="E115" s="161">
        <v>3000</v>
      </c>
      <c r="F115" s="161">
        <v>1000</v>
      </c>
      <c r="G115" s="161">
        <v>4000</v>
      </c>
      <c r="H115" s="114">
        <v>6</v>
      </c>
      <c r="I115" s="114">
        <v>8</v>
      </c>
      <c r="J115" s="114">
        <v>14</v>
      </c>
      <c r="K115" s="114">
        <v>560</v>
      </c>
      <c r="L115" s="114">
        <v>228</v>
      </c>
      <c r="M115" s="114">
        <v>788</v>
      </c>
      <c r="N115" s="115">
        <v>1580040</v>
      </c>
      <c r="O115" s="116">
        <v>4788</v>
      </c>
    </row>
    <row r="116" spans="1:15" s="105" customFormat="1" ht="21" x14ac:dyDescent="0.15">
      <c r="A116" s="293" t="s">
        <v>754</v>
      </c>
      <c r="B116" s="302" t="s">
        <v>670</v>
      </c>
      <c r="C116" s="112">
        <v>2232</v>
      </c>
      <c r="D116" s="111" t="s">
        <v>98</v>
      </c>
      <c r="E116" s="112">
        <v>90</v>
      </c>
      <c r="F116" s="112">
        <v>27</v>
      </c>
      <c r="G116" s="118">
        <v>117</v>
      </c>
      <c r="H116" s="114">
        <v>6</v>
      </c>
      <c r="I116" s="114">
        <v>8</v>
      </c>
      <c r="J116" s="114">
        <v>14</v>
      </c>
      <c r="K116" s="114">
        <v>16.380000000000003</v>
      </c>
      <c r="L116" s="114">
        <v>6.6690000000000005</v>
      </c>
      <c r="M116" s="114">
        <v>23.049000000000003</v>
      </c>
      <c r="N116" s="115">
        <v>312589.37</v>
      </c>
      <c r="O116" s="116">
        <v>140.04900089605735</v>
      </c>
    </row>
    <row r="117" spans="1:15" s="105" customFormat="1" ht="21" x14ac:dyDescent="0.15">
      <c r="A117" s="293" t="s">
        <v>755</v>
      </c>
      <c r="B117" s="302" t="s">
        <v>860</v>
      </c>
      <c r="C117" s="112">
        <v>168</v>
      </c>
      <c r="D117" s="111" t="s">
        <v>1</v>
      </c>
      <c r="E117" s="112">
        <v>50</v>
      </c>
      <c r="F117" s="112">
        <v>15</v>
      </c>
      <c r="G117" s="118">
        <v>65</v>
      </c>
      <c r="H117" s="114">
        <v>6</v>
      </c>
      <c r="I117" s="114">
        <v>8</v>
      </c>
      <c r="J117" s="114">
        <v>14</v>
      </c>
      <c r="K117" s="114">
        <v>9.1000000000000014</v>
      </c>
      <c r="L117" s="114">
        <v>3.7050000000000001</v>
      </c>
      <c r="M117" s="114">
        <v>12.805000000000001</v>
      </c>
      <c r="N117" s="115">
        <v>13071.24</v>
      </c>
      <c r="O117" s="116">
        <v>77.804999999999993</v>
      </c>
    </row>
    <row r="118" spans="1:15" s="105" customFormat="1" ht="21" x14ac:dyDescent="0.15">
      <c r="A118" s="293" t="s">
        <v>756</v>
      </c>
      <c r="B118" s="302" t="s">
        <v>711</v>
      </c>
      <c r="C118" s="112">
        <v>168</v>
      </c>
      <c r="D118" s="111" t="s">
        <v>1</v>
      </c>
      <c r="E118" s="112">
        <v>75</v>
      </c>
      <c r="F118" s="112">
        <v>22.5</v>
      </c>
      <c r="G118" s="118">
        <v>97.5</v>
      </c>
      <c r="H118" s="114">
        <v>6</v>
      </c>
      <c r="I118" s="114">
        <v>8</v>
      </c>
      <c r="J118" s="114">
        <v>14</v>
      </c>
      <c r="K118" s="114">
        <v>13.650000000000002</v>
      </c>
      <c r="L118" s="114">
        <v>5.557500000000001</v>
      </c>
      <c r="M118" s="114">
        <v>19.207500000000003</v>
      </c>
      <c r="N118" s="115">
        <v>19606.86</v>
      </c>
      <c r="O118" s="116">
        <v>116.70750000000001</v>
      </c>
    </row>
    <row r="119" spans="1:15" s="105" customFormat="1" ht="21" x14ac:dyDescent="0.15">
      <c r="A119" s="293" t="s">
        <v>757</v>
      </c>
      <c r="B119" s="215" t="s">
        <v>349</v>
      </c>
      <c r="C119" s="112">
        <v>1</v>
      </c>
      <c r="D119" s="111" t="s">
        <v>5</v>
      </c>
      <c r="E119" s="112">
        <v>5000</v>
      </c>
      <c r="F119" s="112">
        <v>3000</v>
      </c>
      <c r="G119" s="118">
        <v>8000</v>
      </c>
      <c r="H119" s="114">
        <v>6</v>
      </c>
      <c r="I119" s="114">
        <v>8</v>
      </c>
      <c r="J119" s="114">
        <v>14</v>
      </c>
      <c r="K119" s="114">
        <v>1120</v>
      </c>
      <c r="L119" s="114">
        <v>456</v>
      </c>
      <c r="M119" s="114">
        <v>1576</v>
      </c>
      <c r="N119" s="115">
        <v>9576</v>
      </c>
      <c r="O119" s="116">
        <v>9576</v>
      </c>
    </row>
    <row r="120" spans="1:15" s="105" customFormat="1" ht="19" x14ac:dyDescent="0.2">
      <c r="A120" s="188"/>
      <c r="B120" s="128"/>
      <c r="C120" s="112"/>
      <c r="D120" s="111"/>
      <c r="E120" s="112"/>
      <c r="F120" s="112"/>
      <c r="G120" s="127"/>
      <c r="H120" s="119"/>
      <c r="I120" s="119"/>
      <c r="J120" s="114"/>
      <c r="K120" s="114"/>
      <c r="L120" s="114"/>
      <c r="M120" s="191" t="s">
        <v>343</v>
      </c>
      <c r="N120" s="120">
        <v>1934883.4700000002</v>
      </c>
      <c r="O120" s="199"/>
    </row>
    <row r="121" spans="1:15" s="142" customFormat="1" ht="21" x14ac:dyDescent="0.25">
      <c r="A121" s="198">
        <v>6.2999999999999989</v>
      </c>
      <c r="B121" s="220" t="s">
        <v>735</v>
      </c>
      <c r="C121" s="156"/>
      <c r="D121" s="111"/>
      <c r="E121" s="156"/>
      <c r="F121" s="156"/>
      <c r="G121" s="118"/>
      <c r="H121" s="114"/>
      <c r="I121" s="114"/>
      <c r="J121" s="114"/>
      <c r="K121" s="114"/>
      <c r="L121" s="114"/>
      <c r="M121" s="114"/>
      <c r="N121" s="115"/>
      <c r="O121" s="116"/>
    </row>
    <row r="122" spans="1:15" s="105" customFormat="1" ht="21" x14ac:dyDescent="0.15">
      <c r="A122" s="293" t="s">
        <v>758</v>
      </c>
      <c r="B122" s="302" t="s">
        <v>714</v>
      </c>
      <c r="C122" s="112">
        <v>1392</v>
      </c>
      <c r="D122" s="111" t="s">
        <v>98</v>
      </c>
      <c r="E122" s="112">
        <v>110</v>
      </c>
      <c r="F122" s="112">
        <v>33</v>
      </c>
      <c r="G122" s="118">
        <v>143</v>
      </c>
      <c r="H122" s="114">
        <v>6</v>
      </c>
      <c r="I122" s="114">
        <v>8</v>
      </c>
      <c r="J122" s="114">
        <v>14</v>
      </c>
      <c r="K122" s="114">
        <v>20.020000000000003</v>
      </c>
      <c r="L122" s="114">
        <v>8.1510000000000016</v>
      </c>
      <c r="M122" s="114">
        <v>28.171000000000006</v>
      </c>
      <c r="N122" s="115">
        <v>238270.03</v>
      </c>
      <c r="O122" s="116">
        <v>171.17099856321838</v>
      </c>
    </row>
    <row r="123" spans="1:15" s="105" customFormat="1" ht="21" x14ac:dyDescent="0.15">
      <c r="A123" s="293" t="s">
        <v>759</v>
      </c>
      <c r="B123" s="302" t="s">
        <v>733</v>
      </c>
      <c r="C123" s="112">
        <v>120</v>
      </c>
      <c r="D123" s="111" t="s">
        <v>98</v>
      </c>
      <c r="E123" s="112">
        <v>990</v>
      </c>
      <c r="F123" s="112">
        <v>297</v>
      </c>
      <c r="G123" s="118">
        <v>1287</v>
      </c>
      <c r="H123" s="114">
        <v>6</v>
      </c>
      <c r="I123" s="114">
        <v>8</v>
      </c>
      <c r="J123" s="114">
        <v>14</v>
      </c>
      <c r="K123" s="114">
        <v>180.18</v>
      </c>
      <c r="L123" s="114">
        <v>73.359000000000009</v>
      </c>
      <c r="M123" s="114">
        <v>253.53900000000002</v>
      </c>
      <c r="N123" s="115">
        <v>184864.68</v>
      </c>
      <c r="O123" s="116">
        <v>1540.539</v>
      </c>
    </row>
    <row r="124" spans="1:15" s="105" customFormat="1" ht="21" x14ac:dyDescent="0.15">
      <c r="A124" s="293" t="s">
        <v>760</v>
      </c>
      <c r="B124" s="302" t="s">
        <v>734</v>
      </c>
      <c r="C124" s="112">
        <v>36</v>
      </c>
      <c r="D124" s="111" t="s">
        <v>98</v>
      </c>
      <c r="E124" s="112">
        <v>370</v>
      </c>
      <c r="F124" s="112">
        <v>111</v>
      </c>
      <c r="G124" s="118">
        <v>481</v>
      </c>
      <c r="H124" s="114">
        <v>6</v>
      </c>
      <c r="I124" s="114">
        <v>8</v>
      </c>
      <c r="J124" s="114">
        <v>14</v>
      </c>
      <c r="K124" s="114">
        <v>67.34</v>
      </c>
      <c r="L124" s="114">
        <v>27.417000000000002</v>
      </c>
      <c r="M124" s="114">
        <v>94.757000000000005</v>
      </c>
      <c r="N124" s="115">
        <v>20727.25</v>
      </c>
      <c r="O124" s="116">
        <v>575.75694444444446</v>
      </c>
    </row>
    <row r="125" spans="1:15" s="105" customFormat="1" ht="21" x14ac:dyDescent="0.15">
      <c r="A125" s="293" t="s">
        <v>761</v>
      </c>
      <c r="B125" s="302" t="s">
        <v>864</v>
      </c>
      <c r="C125" s="112">
        <v>54</v>
      </c>
      <c r="D125" s="111" t="s">
        <v>1</v>
      </c>
      <c r="E125" s="112">
        <v>500</v>
      </c>
      <c r="F125" s="112">
        <v>150</v>
      </c>
      <c r="G125" s="118">
        <v>650</v>
      </c>
      <c r="H125" s="114">
        <v>6</v>
      </c>
      <c r="I125" s="114">
        <v>8</v>
      </c>
      <c r="J125" s="114">
        <v>14</v>
      </c>
      <c r="K125" s="114">
        <v>91.000000000000014</v>
      </c>
      <c r="L125" s="114">
        <v>37.050000000000004</v>
      </c>
      <c r="M125" s="114">
        <v>128.05000000000001</v>
      </c>
      <c r="N125" s="115">
        <v>42014.7</v>
      </c>
      <c r="O125" s="116">
        <v>778.05</v>
      </c>
    </row>
    <row r="126" spans="1:15" s="105" customFormat="1" ht="21" x14ac:dyDescent="0.15">
      <c r="A126" s="293" t="s">
        <v>762</v>
      </c>
      <c r="B126" s="302" t="s">
        <v>863</v>
      </c>
      <c r="C126" s="112">
        <v>72</v>
      </c>
      <c r="D126" s="111" t="s">
        <v>1</v>
      </c>
      <c r="E126" s="112">
        <v>250</v>
      </c>
      <c r="F126" s="112">
        <v>75</v>
      </c>
      <c r="G126" s="118">
        <v>325</v>
      </c>
      <c r="H126" s="114">
        <v>6</v>
      </c>
      <c r="I126" s="114">
        <v>8</v>
      </c>
      <c r="J126" s="114">
        <v>14</v>
      </c>
      <c r="K126" s="114">
        <v>45.500000000000007</v>
      </c>
      <c r="L126" s="114">
        <v>18.525000000000002</v>
      </c>
      <c r="M126" s="114">
        <v>64.025000000000006</v>
      </c>
      <c r="N126" s="115">
        <v>28009.8</v>
      </c>
      <c r="O126" s="116">
        <v>389.02499999999998</v>
      </c>
    </row>
    <row r="127" spans="1:15" s="105" customFormat="1" ht="21" x14ac:dyDescent="0.15">
      <c r="A127" s="293" t="s">
        <v>763</v>
      </c>
      <c r="B127" s="215" t="s">
        <v>349</v>
      </c>
      <c r="C127" s="112">
        <v>1</v>
      </c>
      <c r="D127" s="111" t="s">
        <v>5</v>
      </c>
      <c r="E127" s="112">
        <v>5000</v>
      </c>
      <c r="F127" s="112">
        <v>3000</v>
      </c>
      <c r="G127" s="118">
        <v>8000</v>
      </c>
      <c r="H127" s="114">
        <v>6</v>
      </c>
      <c r="I127" s="114">
        <v>8</v>
      </c>
      <c r="J127" s="114">
        <v>14</v>
      </c>
      <c r="K127" s="114">
        <v>1120</v>
      </c>
      <c r="L127" s="114">
        <v>456</v>
      </c>
      <c r="M127" s="114">
        <v>1576</v>
      </c>
      <c r="N127" s="115">
        <v>9576</v>
      </c>
      <c r="O127" s="116">
        <v>9576</v>
      </c>
    </row>
    <row r="128" spans="1:15" s="105" customFormat="1" ht="19" x14ac:dyDescent="0.2">
      <c r="A128" s="188"/>
      <c r="B128" s="128"/>
      <c r="C128" s="112"/>
      <c r="D128" s="111"/>
      <c r="E128" s="112"/>
      <c r="F128" s="112"/>
      <c r="G128" s="127"/>
      <c r="H128" s="119"/>
      <c r="I128" s="119"/>
      <c r="J128" s="114"/>
      <c r="K128" s="114"/>
      <c r="L128" s="114"/>
      <c r="M128" s="191" t="s">
        <v>343</v>
      </c>
      <c r="N128" s="120">
        <v>523462.45999999996</v>
      </c>
      <c r="O128" s="199"/>
    </row>
    <row r="129" spans="1:15" s="105" customFormat="1" ht="20" x14ac:dyDescent="0.2">
      <c r="A129" s="193">
        <v>7</v>
      </c>
      <c r="B129" s="196" t="s">
        <v>742</v>
      </c>
      <c r="C129" s="121"/>
      <c r="D129" s="122"/>
      <c r="E129" s="121"/>
      <c r="F129" s="121"/>
      <c r="G129" s="123"/>
      <c r="H129" s="124"/>
      <c r="I129" s="124"/>
      <c r="J129" s="125"/>
      <c r="K129" s="125"/>
      <c r="L129" s="125"/>
      <c r="M129" s="124"/>
      <c r="N129" s="126"/>
      <c r="O129" s="197"/>
    </row>
    <row r="130" spans="1:15" s="105" customFormat="1" ht="40" x14ac:dyDescent="0.15">
      <c r="A130" s="265">
        <v>7.1</v>
      </c>
      <c r="B130" s="194" t="s">
        <v>806</v>
      </c>
      <c r="C130" s="112">
        <v>17469.8</v>
      </c>
      <c r="D130" s="111" t="s">
        <v>892</v>
      </c>
      <c r="E130" s="112">
        <v>100</v>
      </c>
      <c r="F130" s="112">
        <v>100</v>
      </c>
      <c r="G130" s="118">
        <v>200</v>
      </c>
      <c r="H130" s="114">
        <v>6</v>
      </c>
      <c r="I130" s="114">
        <v>8</v>
      </c>
      <c r="J130" s="114">
        <v>14</v>
      </c>
      <c r="K130" s="114">
        <v>28.000000000000004</v>
      </c>
      <c r="L130" s="114">
        <v>11.4</v>
      </c>
      <c r="M130" s="114">
        <v>39.400000000000006</v>
      </c>
      <c r="N130" s="115">
        <v>4182270.12</v>
      </c>
      <c r="O130" s="116">
        <v>239.4</v>
      </c>
    </row>
    <row r="131" spans="1:15" s="105" customFormat="1" ht="40" x14ac:dyDescent="0.15">
      <c r="A131" s="265">
        <v>7.1999999999999993</v>
      </c>
      <c r="B131" s="194" t="s">
        <v>805</v>
      </c>
      <c r="C131" s="112">
        <v>1890.5</v>
      </c>
      <c r="D131" s="111" t="s">
        <v>892</v>
      </c>
      <c r="E131" s="112">
        <v>100</v>
      </c>
      <c r="F131" s="112">
        <v>150</v>
      </c>
      <c r="G131" s="118">
        <v>250</v>
      </c>
      <c r="H131" s="114">
        <v>6</v>
      </c>
      <c r="I131" s="114">
        <v>8</v>
      </c>
      <c r="J131" s="114">
        <v>14</v>
      </c>
      <c r="K131" s="114">
        <v>35</v>
      </c>
      <c r="L131" s="114">
        <v>14.25</v>
      </c>
      <c r="M131" s="114">
        <v>49.25</v>
      </c>
      <c r="N131" s="115">
        <v>565732.13</v>
      </c>
      <c r="O131" s="116">
        <v>299.25000264480298</v>
      </c>
    </row>
    <row r="132" spans="1:15" s="105" customFormat="1" ht="40" x14ac:dyDescent="0.15">
      <c r="A132" s="265">
        <v>7.2999999999999989</v>
      </c>
      <c r="B132" s="194" t="s">
        <v>807</v>
      </c>
      <c r="C132" s="112">
        <v>5187</v>
      </c>
      <c r="D132" s="111" t="s">
        <v>892</v>
      </c>
      <c r="E132" s="112">
        <v>100</v>
      </c>
      <c r="F132" s="112">
        <v>100</v>
      </c>
      <c r="G132" s="118">
        <v>200</v>
      </c>
      <c r="H132" s="114">
        <v>6</v>
      </c>
      <c r="I132" s="114">
        <v>8</v>
      </c>
      <c r="J132" s="114">
        <v>14</v>
      </c>
      <c r="K132" s="114">
        <v>28.000000000000004</v>
      </c>
      <c r="L132" s="114">
        <v>11.4</v>
      </c>
      <c r="M132" s="114">
        <v>39.400000000000006</v>
      </c>
      <c r="N132" s="115">
        <v>1241767.8</v>
      </c>
      <c r="O132" s="116">
        <v>239.4</v>
      </c>
    </row>
    <row r="133" spans="1:15" s="105" customFormat="1" ht="40" x14ac:dyDescent="0.15">
      <c r="A133" s="265">
        <v>7.3999999999999986</v>
      </c>
      <c r="B133" s="223" t="s">
        <v>868</v>
      </c>
      <c r="C133" s="112">
        <v>681.5</v>
      </c>
      <c r="D133" s="111" t="s">
        <v>892</v>
      </c>
      <c r="E133" s="112">
        <v>100</v>
      </c>
      <c r="F133" s="112">
        <v>100</v>
      </c>
      <c r="G133" s="118">
        <v>200</v>
      </c>
      <c r="H133" s="114">
        <v>6</v>
      </c>
      <c r="I133" s="114">
        <v>8</v>
      </c>
      <c r="J133" s="114">
        <v>14</v>
      </c>
      <c r="K133" s="114">
        <v>28.000000000000004</v>
      </c>
      <c r="L133" s="114">
        <v>11.4</v>
      </c>
      <c r="M133" s="114">
        <v>39.400000000000006</v>
      </c>
      <c r="N133" s="115">
        <v>163151.1</v>
      </c>
      <c r="O133" s="116">
        <v>239.4</v>
      </c>
    </row>
    <row r="134" spans="1:15" s="142" customFormat="1" ht="40" x14ac:dyDescent="0.25">
      <c r="A134" s="265">
        <v>7.4999999999999982</v>
      </c>
      <c r="B134" s="222" t="s">
        <v>820</v>
      </c>
      <c r="C134" s="156">
        <v>495</v>
      </c>
      <c r="D134" s="111" t="s">
        <v>892</v>
      </c>
      <c r="E134" s="112">
        <v>100</v>
      </c>
      <c r="F134" s="112">
        <v>100</v>
      </c>
      <c r="G134" s="118">
        <v>200</v>
      </c>
      <c r="H134" s="114">
        <v>6</v>
      </c>
      <c r="I134" s="114">
        <v>8</v>
      </c>
      <c r="J134" s="114">
        <v>14</v>
      </c>
      <c r="K134" s="114">
        <v>28.000000000000004</v>
      </c>
      <c r="L134" s="114">
        <v>11.4</v>
      </c>
      <c r="M134" s="114">
        <v>39.400000000000006</v>
      </c>
      <c r="N134" s="115">
        <v>118503</v>
      </c>
      <c r="O134" s="116">
        <v>239.4</v>
      </c>
    </row>
    <row r="135" spans="1:15" s="142" customFormat="1" ht="40" x14ac:dyDescent="0.25">
      <c r="A135" s="265">
        <v>7.5999999999999979</v>
      </c>
      <c r="B135" s="222" t="s">
        <v>870</v>
      </c>
      <c r="C135" s="156">
        <v>340</v>
      </c>
      <c r="D135" s="111" t="s">
        <v>892</v>
      </c>
      <c r="E135" s="112">
        <v>100</v>
      </c>
      <c r="F135" s="112">
        <v>100</v>
      </c>
      <c r="G135" s="118">
        <v>200</v>
      </c>
      <c r="H135" s="114">
        <v>6</v>
      </c>
      <c r="I135" s="114">
        <v>8</v>
      </c>
      <c r="J135" s="114">
        <v>14</v>
      </c>
      <c r="K135" s="114">
        <v>28.000000000000004</v>
      </c>
      <c r="L135" s="114">
        <v>11.4</v>
      </c>
      <c r="M135" s="114">
        <v>39.400000000000006</v>
      </c>
      <c r="N135" s="115">
        <v>81396</v>
      </c>
      <c r="O135" s="116">
        <v>239.4</v>
      </c>
    </row>
    <row r="136" spans="1:15" s="142" customFormat="1" ht="60" x14ac:dyDescent="0.25">
      <c r="A136" s="265">
        <v>7.6999999999999975</v>
      </c>
      <c r="B136" s="214" t="s">
        <v>871</v>
      </c>
      <c r="C136" s="156">
        <v>1862</v>
      </c>
      <c r="D136" s="111" t="s">
        <v>892</v>
      </c>
      <c r="E136" s="112">
        <v>100</v>
      </c>
      <c r="F136" s="112">
        <v>100</v>
      </c>
      <c r="G136" s="118">
        <v>200</v>
      </c>
      <c r="H136" s="114">
        <v>6</v>
      </c>
      <c r="I136" s="114">
        <v>8</v>
      </c>
      <c r="J136" s="114">
        <v>14</v>
      </c>
      <c r="K136" s="114">
        <v>28.000000000000004</v>
      </c>
      <c r="L136" s="114">
        <v>11.4</v>
      </c>
      <c r="M136" s="114">
        <v>39.400000000000006</v>
      </c>
      <c r="N136" s="115">
        <v>445762.8</v>
      </c>
      <c r="O136" s="116">
        <v>239.4</v>
      </c>
    </row>
    <row r="137" spans="1:15" s="105" customFormat="1" ht="40" x14ac:dyDescent="0.15">
      <c r="A137" s="265">
        <v>7.7999999999999972</v>
      </c>
      <c r="B137" s="223" t="s">
        <v>869</v>
      </c>
      <c r="C137" s="112">
        <v>1</v>
      </c>
      <c r="D137" s="111" t="s">
        <v>5</v>
      </c>
      <c r="E137" s="112">
        <v>15000</v>
      </c>
      <c r="F137" s="112">
        <v>10000</v>
      </c>
      <c r="G137" s="118">
        <v>25000</v>
      </c>
      <c r="H137" s="114">
        <v>6</v>
      </c>
      <c r="I137" s="114">
        <v>8</v>
      </c>
      <c r="J137" s="114">
        <v>14</v>
      </c>
      <c r="K137" s="114">
        <v>3500.0000000000005</v>
      </c>
      <c r="L137" s="114">
        <v>1425</v>
      </c>
      <c r="M137" s="114">
        <v>4925</v>
      </c>
      <c r="N137" s="115">
        <v>29925</v>
      </c>
      <c r="O137" s="116">
        <v>29925</v>
      </c>
    </row>
    <row r="138" spans="1:15" s="105" customFormat="1" ht="21" x14ac:dyDescent="0.15">
      <c r="A138" s="188"/>
      <c r="B138" s="128"/>
      <c r="C138" s="112"/>
      <c r="D138" s="111"/>
      <c r="E138" s="112"/>
      <c r="F138" s="112"/>
      <c r="G138" s="118"/>
      <c r="H138" s="114"/>
      <c r="I138" s="114"/>
      <c r="J138" s="114"/>
      <c r="K138" s="114"/>
      <c r="L138" s="114"/>
      <c r="M138" s="191" t="s">
        <v>343</v>
      </c>
      <c r="N138" s="120">
        <v>6828507.9499999993</v>
      </c>
      <c r="O138" s="116"/>
    </row>
    <row r="139" spans="1:15" s="105" customFormat="1" ht="21" x14ac:dyDescent="0.15">
      <c r="A139" s="193">
        <v>8</v>
      </c>
      <c r="B139" s="224" t="s">
        <v>747</v>
      </c>
      <c r="C139" s="121"/>
      <c r="D139" s="122"/>
      <c r="E139" s="121"/>
      <c r="F139" s="121"/>
      <c r="G139" s="123"/>
      <c r="H139" s="125"/>
      <c r="I139" s="125"/>
      <c r="J139" s="125"/>
      <c r="K139" s="125"/>
      <c r="L139" s="125"/>
      <c r="M139" s="125"/>
      <c r="N139" s="152"/>
      <c r="O139" s="153"/>
    </row>
    <row r="140" spans="1:15" s="142" customFormat="1" ht="21" x14ac:dyDescent="0.25">
      <c r="A140" s="198">
        <v>8.1</v>
      </c>
      <c r="B140" s="220" t="s">
        <v>748</v>
      </c>
      <c r="C140" s="156"/>
      <c r="D140" s="111"/>
      <c r="E140" s="156"/>
      <c r="F140" s="156"/>
      <c r="G140" s="118"/>
      <c r="H140" s="114"/>
      <c r="I140" s="114"/>
      <c r="J140" s="114"/>
      <c r="K140" s="114"/>
      <c r="L140" s="114"/>
      <c r="M140" s="114"/>
      <c r="N140" s="115"/>
      <c r="O140" s="116"/>
    </row>
    <row r="141" spans="1:15" s="105" customFormat="1" ht="80" x14ac:dyDescent="0.15">
      <c r="A141" s="293" t="s">
        <v>764</v>
      </c>
      <c r="B141" s="318" t="s">
        <v>604</v>
      </c>
      <c r="C141" s="112">
        <v>5</v>
      </c>
      <c r="D141" s="111" t="s">
        <v>1</v>
      </c>
      <c r="E141" s="112">
        <v>30000</v>
      </c>
      <c r="F141" s="112">
        <v>3000</v>
      </c>
      <c r="G141" s="118">
        <v>33000</v>
      </c>
      <c r="H141" s="114">
        <v>6</v>
      </c>
      <c r="I141" s="114">
        <v>8</v>
      </c>
      <c r="J141" s="114">
        <v>14</v>
      </c>
      <c r="K141" s="114">
        <v>4620</v>
      </c>
      <c r="L141" s="114">
        <v>1881</v>
      </c>
      <c r="M141" s="114">
        <v>6501</v>
      </c>
      <c r="N141" s="115">
        <v>197505</v>
      </c>
      <c r="O141" s="116">
        <v>39501</v>
      </c>
    </row>
    <row r="142" spans="1:15" s="105" customFormat="1" ht="40" x14ac:dyDescent="0.15">
      <c r="A142" s="293" t="s">
        <v>765</v>
      </c>
      <c r="B142" s="318" t="s">
        <v>671</v>
      </c>
      <c r="C142" s="112">
        <v>4</v>
      </c>
      <c r="D142" s="111" t="s">
        <v>1</v>
      </c>
      <c r="E142" s="112">
        <v>24000</v>
      </c>
      <c r="F142" s="112">
        <v>2500</v>
      </c>
      <c r="G142" s="118">
        <v>26500</v>
      </c>
      <c r="H142" s="114">
        <v>6</v>
      </c>
      <c r="I142" s="114">
        <v>8</v>
      </c>
      <c r="J142" s="114">
        <v>14</v>
      </c>
      <c r="K142" s="114">
        <v>3710.0000000000005</v>
      </c>
      <c r="L142" s="114">
        <v>1510.5</v>
      </c>
      <c r="M142" s="114">
        <v>5220.5</v>
      </c>
      <c r="N142" s="115">
        <v>126882</v>
      </c>
      <c r="O142" s="116">
        <v>31720.5</v>
      </c>
    </row>
    <row r="143" spans="1:15" s="105" customFormat="1" ht="80" x14ac:dyDescent="0.15">
      <c r="A143" s="293" t="s">
        <v>766</v>
      </c>
      <c r="B143" s="318" t="s">
        <v>605</v>
      </c>
      <c r="C143" s="112">
        <v>6</v>
      </c>
      <c r="D143" s="111" t="s">
        <v>1</v>
      </c>
      <c r="E143" s="112">
        <v>30000</v>
      </c>
      <c r="F143" s="112">
        <v>3000</v>
      </c>
      <c r="G143" s="118">
        <v>33000</v>
      </c>
      <c r="H143" s="114">
        <v>6</v>
      </c>
      <c r="I143" s="114">
        <v>8</v>
      </c>
      <c r="J143" s="114">
        <v>14</v>
      </c>
      <c r="K143" s="114">
        <v>4620</v>
      </c>
      <c r="L143" s="114">
        <v>1881</v>
      </c>
      <c r="M143" s="114">
        <v>6501</v>
      </c>
      <c r="N143" s="115">
        <v>237006</v>
      </c>
      <c r="O143" s="116">
        <v>39501</v>
      </c>
    </row>
    <row r="144" spans="1:15" s="105" customFormat="1" ht="80" x14ac:dyDescent="0.15">
      <c r="A144" s="293" t="s">
        <v>767</v>
      </c>
      <c r="B144" s="318" t="s">
        <v>606</v>
      </c>
      <c r="C144" s="112">
        <v>83</v>
      </c>
      <c r="D144" s="111" t="s">
        <v>1</v>
      </c>
      <c r="E144" s="112">
        <v>15000</v>
      </c>
      <c r="F144" s="112">
        <v>2500</v>
      </c>
      <c r="G144" s="118">
        <v>17500</v>
      </c>
      <c r="H144" s="114">
        <v>6</v>
      </c>
      <c r="I144" s="114">
        <v>8</v>
      </c>
      <c r="J144" s="114">
        <v>14</v>
      </c>
      <c r="K144" s="114">
        <v>2450.0000000000005</v>
      </c>
      <c r="L144" s="114">
        <v>997.5</v>
      </c>
      <c r="M144" s="114">
        <v>3447.5000000000005</v>
      </c>
      <c r="N144" s="115">
        <v>1738642.5</v>
      </c>
      <c r="O144" s="116">
        <v>20947.5</v>
      </c>
    </row>
    <row r="145" spans="1:15" s="142" customFormat="1" ht="60" x14ac:dyDescent="0.25">
      <c r="A145" s="293" t="s">
        <v>768</v>
      </c>
      <c r="B145" s="318" t="s">
        <v>607</v>
      </c>
      <c r="C145" s="156">
        <v>4</v>
      </c>
      <c r="D145" s="141" t="s">
        <v>1</v>
      </c>
      <c r="E145" s="156">
        <v>14000</v>
      </c>
      <c r="F145" s="156">
        <v>2500</v>
      </c>
      <c r="G145" s="118">
        <v>16500</v>
      </c>
      <c r="H145" s="114">
        <v>6</v>
      </c>
      <c r="I145" s="114">
        <v>8</v>
      </c>
      <c r="J145" s="114">
        <v>14</v>
      </c>
      <c r="K145" s="114">
        <v>2310</v>
      </c>
      <c r="L145" s="114">
        <v>940.5</v>
      </c>
      <c r="M145" s="114">
        <v>3250.5</v>
      </c>
      <c r="N145" s="115">
        <v>79002</v>
      </c>
      <c r="O145" s="116">
        <v>19750.5</v>
      </c>
    </row>
    <row r="146" spans="1:15" s="105" customFormat="1" ht="60" x14ac:dyDescent="0.15">
      <c r="A146" s="293" t="s">
        <v>769</v>
      </c>
      <c r="B146" s="326" t="s">
        <v>691</v>
      </c>
      <c r="C146" s="112">
        <v>5</v>
      </c>
      <c r="D146" s="111" t="s">
        <v>1</v>
      </c>
      <c r="E146" s="112">
        <v>12000</v>
      </c>
      <c r="F146" s="112">
        <v>3000</v>
      </c>
      <c r="G146" s="118">
        <v>15000</v>
      </c>
      <c r="H146" s="114">
        <v>6</v>
      </c>
      <c r="I146" s="114">
        <v>8</v>
      </c>
      <c r="J146" s="114">
        <v>14</v>
      </c>
      <c r="K146" s="114">
        <v>2100</v>
      </c>
      <c r="L146" s="114">
        <v>855</v>
      </c>
      <c r="M146" s="114">
        <v>2955</v>
      </c>
      <c r="N146" s="115">
        <v>89775</v>
      </c>
      <c r="O146" s="116">
        <v>17955</v>
      </c>
    </row>
    <row r="147" spans="1:15" s="142" customFormat="1" ht="80" x14ac:dyDescent="0.25">
      <c r="A147" s="293" t="s">
        <v>770</v>
      </c>
      <c r="B147" s="318" t="s">
        <v>608</v>
      </c>
      <c r="C147" s="156">
        <v>23</v>
      </c>
      <c r="D147" s="141" t="s">
        <v>1</v>
      </c>
      <c r="E147" s="156">
        <v>15000</v>
      </c>
      <c r="F147" s="156">
        <v>2500</v>
      </c>
      <c r="G147" s="118">
        <v>17500</v>
      </c>
      <c r="H147" s="114">
        <v>6</v>
      </c>
      <c r="I147" s="114">
        <v>8</v>
      </c>
      <c r="J147" s="114">
        <v>14</v>
      </c>
      <c r="K147" s="114">
        <v>2450.0000000000005</v>
      </c>
      <c r="L147" s="114">
        <v>997.5</v>
      </c>
      <c r="M147" s="114">
        <v>3447.5000000000005</v>
      </c>
      <c r="N147" s="115">
        <v>481792.5</v>
      </c>
      <c r="O147" s="116">
        <v>20947.5</v>
      </c>
    </row>
    <row r="148" spans="1:15" s="142" customFormat="1" ht="60" x14ac:dyDescent="0.25">
      <c r="A148" s="293" t="s">
        <v>771</v>
      </c>
      <c r="B148" s="326" t="s">
        <v>421</v>
      </c>
      <c r="C148" s="156">
        <v>34</v>
      </c>
      <c r="D148" s="141" t="s">
        <v>1</v>
      </c>
      <c r="E148" s="156">
        <v>6000</v>
      </c>
      <c r="F148" s="156">
        <v>1500</v>
      </c>
      <c r="G148" s="118">
        <v>7500</v>
      </c>
      <c r="H148" s="114">
        <v>6</v>
      </c>
      <c r="I148" s="114">
        <v>8</v>
      </c>
      <c r="J148" s="114">
        <v>14</v>
      </c>
      <c r="K148" s="114">
        <v>1050</v>
      </c>
      <c r="L148" s="114">
        <v>427.5</v>
      </c>
      <c r="M148" s="114">
        <v>1477.5</v>
      </c>
      <c r="N148" s="115">
        <v>305235</v>
      </c>
      <c r="O148" s="116">
        <v>8977.5</v>
      </c>
    </row>
    <row r="149" spans="1:15" s="142" customFormat="1" ht="80" x14ac:dyDescent="0.25">
      <c r="A149" s="293" t="s">
        <v>772</v>
      </c>
      <c r="B149" s="318" t="s">
        <v>609</v>
      </c>
      <c r="C149" s="156">
        <v>1</v>
      </c>
      <c r="D149" s="141" t="s">
        <v>1</v>
      </c>
      <c r="E149" s="156">
        <v>12500</v>
      </c>
      <c r="F149" s="156">
        <v>2500</v>
      </c>
      <c r="G149" s="118">
        <v>15000</v>
      </c>
      <c r="H149" s="114">
        <v>6</v>
      </c>
      <c r="I149" s="114">
        <v>8</v>
      </c>
      <c r="J149" s="114">
        <v>14</v>
      </c>
      <c r="K149" s="114">
        <v>2100</v>
      </c>
      <c r="L149" s="114">
        <v>855</v>
      </c>
      <c r="M149" s="114">
        <v>2955</v>
      </c>
      <c r="N149" s="115">
        <v>17955</v>
      </c>
      <c r="O149" s="116">
        <v>17955</v>
      </c>
    </row>
    <row r="150" spans="1:15" s="105" customFormat="1" ht="40" x14ac:dyDescent="0.15">
      <c r="A150" s="293" t="s">
        <v>773</v>
      </c>
      <c r="B150" s="318" t="s">
        <v>672</v>
      </c>
      <c r="C150" s="112">
        <v>1</v>
      </c>
      <c r="D150" s="111" t="s">
        <v>1</v>
      </c>
      <c r="E150" s="112">
        <v>102000</v>
      </c>
      <c r="F150" s="112">
        <v>22000</v>
      </c>
      <c r="G150" s="118">
        <v>124000</v>
      </c>
      <c r="H150" s="114">
        <v>6</v>
      </c>
      <c r="I150" s="114">
        <v>8</v>
      </c>
      <c r="J150" s="114">
        <v>14</v>
      </c>
      <c r="K150" s="114">
        <v>17360</v>
      </c>
      <c r="L150" s="114">
        <v>7068</v>
      </c>
      <c r="M150" s="114">
        <v>24428</v>
      </c>
      <c r="N150" s="115">
        <v>148428</v>
      </c>
      <c r="O150" s="116">
        <v>148428</v>
      </c>
    </row>
    <row r="151" spans="1:15" s="105" customFormat="1" ht="40" x14ac:dyDescent="0.15">
      <c r="A151" s="293" t="s">
        <v>774</v>
      </c>
      <c r="B151" s="318" t="s">
        <v>673</v>
      </c>
      <c r="C151" s="112">
        <v>1</v>
      </c>
      <c r="D151" s="111" t="s">
        <v>1</v>
      </c>
      <c r="E151" s="112">
        <v>95000</v>
      </c>
      <c r="F151" s="112">
        <v>20000</v>
      </c>
      <c r="G151" s="118">
        <v>115000</v>
      </c>
      <c r="H151" s="114">
        <v>6</v>
      </c>
      <c r="I151" s="114">
        <v>8</v>
      </c>
      <c r="J151" s="114">
        <v>14</v>
      </c>
      <c r="K151" s="114">
        <v>16100.000000000002</v>
      </c>
      <c r="L151" s="114">
        <v>6555</v>
      </c>
      <c r="M151" s="114">
        <v>22655</v>
      </c>
      <c r="N151" s="115">
        <v>137655</v>
      </c>
      <c r="O151" s="116">
        <v>137655</v>
      </c>
    </row>
    <row r="152" spans="1:15" s="105" customFormat="1" ht="40" x14ac:dyDescent="0.15">
      <c r="A152" s="293" t="s">
        <v>775</v>
      </c>
      <c r="B152" s="318" t="s">
        <v>674</v>
      </c>
      <c r="C152" s="112">
        <v>1</v>
      </c>
      <c r="D152" s="111" t="s">
        <v>1</v>
      </c>
      <c r="E152" s="112">
        <v>77000</v>
      </c>
      <c r="F152" s="112">
        <v>18000</v>
      </c>
      <c r="G152" s="118">
        <v>95000</v>
      </c>
      <c r="H152" s="114">
        <v>6</v>
      </c>
      <c r="I152" s="114">
        <v>8</v>
      </c>
      <c r="J152" s="114">
        <v>14</v>
      </c>
      <c r="K152" s="114">
        <v>13300.000000000002</v>
      </c>
      <c r="L152" s="114">
        <v>5415</v>
      </c>
      <c r="M152" s="114">
        <v>18715</v>
      </c>
      <c r="N152" s="115">
        <v>113715</v>
      </c>
      <c r="O152" s="116">
        <v>113715</v>
      </c>
    </row>
    <row r="153" spans="1:15" s="105" customFormat="1" ht="40" x14ac:dyDescent="0.15">
      <c r="A153" s="293" t="s">
        <v>776</v>
      </c>
      <c r="B153" s="318" t="s">
        <v>675</v>
      </c>
      <c r="C153" s="112">
        <v>1</v>
      </c>
      <c r="D153" s="111" t="s">
        <v>1</v>
      </c>
      <c r="E153" s="112">
        <v>45000</v>
      </c>
      <c r="F153" s="112">
        <v>9500</v>
      </c>
      <c r="G153" s="118">
        <v>54500</v>
      </c>
      <c r="H153" s="114">
        <v>6</v>
      </c>
      <c r="I153" s="114">
        <v>8</v>
      </c>
      <c r="J153" s="114">
        <v>14</v>
      </c>
      <c r="K153" s="114">
        <v>7630.0000000000009</v>
      </c>
      <c r="L153" s="114">
        <v>3106.5</v>
      </c>
      <c r="M153" s="114">
        <v>10736.5</v>
      </c>
      <c r="N153" s="115">
        <v>65236.5</v>
      </c>
      <c r="O153" s="116">
        <v>65236.5</v>
      </c>
    </row>
    <row r="154" spans="1:15" s="105" customFormat="1" ht="40" x14ac:dyDescent="0.15">
      <c r="A154" s="293" t="s">
        <v>777</v>
      </c>
      <c r="B154" s="318" t="s">
        <v>676</v>
      </c>
      <c r="C154" s="112">
        <v>1</v>
      </c>
      <c r="D154" s="111" t="s">
        <v>1</v>
      </c>
      <c r="E154" s="112">
        <v>46000</v>
      </c>
      <c r="F154" s="112">
        <v>10000</v>
      </c>
      <c r="G154" s="118">
        <v>56000</v>
      </c>
      <c r="H154" s="114">
        <v>6</v>
      </c>
      <c r="I154" s="114">
        <v>8</v>
      </c>
      <c r="J154" s="114">
        <v>14</v>
      </c>
      <c r="K154" s="114">
        <v>7840.0000000000009</v>
      </c>
      <c r="L154" s="114">
        <v>3192</v>
      </c>
      <c r="M154" s="114">
        <v>11032</v>
      </c>
      <c r="N154" s="115">
        <v>67032</v>
      </c>
      <c r="O154" s="116">
        <v>67032</v>
      </c>
    </row>
    <row r="155" spans="1:15" s="105" customFormat="1" ht="40" x14ac:dyDescent="0.15">
      <c r="A155" s="293" t="s">
        <v>778</v>
      </c>
      <c r="B155" s="318" t="s">
        <v>677</v>
      </c>
      <c r="C155" s="112">
        <v>3</v>
      </c>
      <c r="D155" s="111" t="s">
        <v>1</v>
      </c>
      <c r="E155" s="112">
        <v>52000</v>
      </c>
      <c r="F155" s="112">
        <v>11000</v>
      </c>
      <c r="G155" s="118">
        <v>63000</v>
      </c>
      <c r="H155" s="114">
        <v>6</v>
      </c>
      <c r="I155" s="114">
        <v>8</v>
      </c>
      <c r="J155" s="114">
        <v>14</v>
      </c>
      <c r="K155" s="114">
        <v>8820</v>
      </c>
      <c r="L155" s="114">
        <v>3591</v>
      </c>
      <c r="M155" s="114">
        <v>12411</v>
      </c>
      <c r="N155" s="115">
        <v>226233</v>
      </c>
      <c r="O155" s="116">
        <v>75411</v>
      </c>
    </row>
    <row r="156" spans="1:15" s="105" customFormat="1" ht="40" x14ac:dyDescent="0.15">
      <c r="A156" s="293" t="s">
        <v>779</v>
      </c>
      <c r="B156" s="318" t="s">
        <v>678</v>
      </c>
      <c r="C156" s="112">
        <v>6</v>
      </c>
      <c r="D156" s="111" t="s">
        <v>1</v>
      </c>
      <c r="E156" s="112">
        <v>33000</v>
      </c>
      <c r="F156" s="112">
        <v>7000</v>
      </c>
      <c r="G156" s="118">
        <v>40000</v>
      </c>
      <c r="H156" s="114">
        <v>6</v>
      </c>
      <c r="I156" s="114">
        <v>8</v>
      </c>
      <c r="J156" s="114">
        <v>14</v>
      </c>
      <c r="K156" s="114">
        <v>5600.0000000000009</v>
      </c>
      <c r="L156" s="114">
        <v>2280</v>
      </c>
      <c r="M156" s="114">
        <v>7880.0000000000009</v>
      </c>
      <c r="N156" s="115">
        <v>287280</v>
      </c>
      <c r="O156" s="116">
        <v>47880</v>
      </c>
    </row>
    <row r="157" spans="1:15" s="105" customFormat="1" ht="21" x14ac:dyDescent="0.25">
      <c r="A157" s="198"/>
      <c r="B157" s="203"/>
      <c r="C157" s="112"/>
      <c r="D157" s="111"/>
      <c r="E157" s="112"/>
      <c r="F157" s="112"/>
      <c r="G157" s="118"/>
      <c r="H157" s="114"/>
      <c r="I157" s="114"/>
      <c r="J157" s="114"/>
      <c r="K157" s="114"/>
      <c r="L157" s="114"/>
      <c r="M157" s="191" t="s">
        <v>343</v>
      </c>
      <c r="N157" s="120">
        <v>4319374.5</v>
      </c>
      <c r="O157" s="116"/>
    </row>
    <row r="158" spans="1:15" s="142" customFormat="1" ht="21" x14ac:dyDescent="0.25">
      <c r="A158" s="198">
        <v>8.1999999999999993</v>
      </c>
      <c r="B158" s="220" t="s">
        <v>744</v>
      </c>
      <c r="C158" s="156"/>
      <c r="D158" s="111"/>
      <c r="E158" s="156"/>
      <c r="F158" s="156"/>
      <c r="G158" s="118"/>
      <c r="H158" s="114"/>
      <c r="I158" s="114"/>
      <c r="J158" s="114"/>
      <c r="K158" s="114"/>
      <c r="L158" s="114"/>
      <c r="M158" s="114"/>
      <c r="N158" s="115"/>
      <c r="O158" s="116"/>
    </row>
    <row r="159" spans="1:15" s="105" customFormat="1" ht="40" x14ac:dyDescent="0.15">
      <c r="A159" s="327" t="s">
        <v>780</v>
      </c>
      <c r="B159" s="318" t="s">
        <v>821</v>
      </c>
      <c r="C159" s="112">
        <v>48</v>
      </c>
      <c r="D159" s="111" t="s">
        <v>1</v>
      </c>
      <c r="E159" s="112">
        <v>7500</v>
      </c>
      <c r="F159" s="112">
        <v>1500</v>
      </c>
      <c r="G159" s="118">
        <v>9000</v>
      </c>
      <c r="H159" s="114">
        <v>6</v>
      </c>
      <c r="I159" s="114">
        <v>8</v>
      </c>
      <c r="J159" s="114">
        <v>14</v>
      </c>
      <c r="K159" s="114">
        <v>1260.0000000000002</v>
      </c>
      <c r="L159" s="114">
        <v>513</v>
      </c>
      <c r="M159" s="114">
        <v>1773.0000000000002</v>
      </c>
      <c r="N159" s="115">
        <v>517104</v>
      </c>
      <c r="O159" s="116">
        <v>10773</v>
      </c>
    </row>
    <row r="160" spans="1:15" s="105" customFormat="1" ht="40" x14ac:dyDescent="0.15">
      <c r="A160" s="327" t="s">
        <v>781</v>
      </c>
      <c r="B160" s="318" t="s">
        <v>822</v>
      </c>
      <c r="C160" s="112">
        <v>49</v>
      </c>
      <c r="D160" s="111" t="s">
        <v>1</v>
      </c>
      <c r="E160" s="112">
        <v>28000</v>
      </c>
      <c r="F160" s="112">
        <v>6000</v>
      </c>
      <c r="G160" s="118">
        <v>34000</v>
      </c>
      <c r="H160" s="114">
        <v>6</v>
      </c>
      <c r="I160" s="114">
        <v>8</v>
      </c>
      <c r="J160" s="114">
        <v>14</v>
      </c>
      <c r="K160" s="114">
        <v>4760</v>
      </c>
      <c r="L160" s="114">
        <v>1938</v>
      </c>
      <c r="M160" s="114">
        <v>6698</v>
      </c>
      <c r="N160" s="115">
        <v>1994202</v>
      </c>
      <c r="O160" s="116">
        <v>40698</v>
      </c>
    </row>
    <row r="161" spans="1:15" s="105" customFormat="1" ht="40" x14ac:dyDescent="0.15">
      <c r="A161" s="327" t="s">
        <v>782</v>
      </c>
      <c r="B161" s="318" t="s">
        <v>823</v>
      </c>
      <c r="C161" s="112">
        <v>15</v>
      </c>
      <c r="D161" s="111" t="s">
        <v>1</v>
      </c>
      <c r="E161" s="112">
        <v>46000</v>
      </c>
      <c r="F161" s="112">
        <v>9000</v>
      </c>
      <c r="G161" s="118">
        <v>55000</v>
      </c>
      <c r="H161" s="114">
        <v>6</v>
      </c>
      <c r="I161" s="114">
        <v>8</v>
      </c>
      <c r="J161" s="114">
        <v>14</v>
      </c>
      <c r="K161" s="114">
        <v>7700.0000000000009</v>
      </c>
      <c r="L161" s="114">
        <v>3135</v>
      </c>
      <c r="M161" s="114">
        <v>10835</v>
      </c>
      <c r="N161" s="115">
        <v>987525</v>
      </c>
      <c r="O161" s="116">
        <v>65835</v>
      </c>
    </row>
    <row r="162" spans="1:15" s="105" customFormat="1" ht="40" x14ac:dyDescent="0.15">
      <c r="A162" s="327" t="s">
        <v>783</v>
      </c>
      <c r="B162" s="318" t="s">
        <v>824</v>
      </c>
      <c r="C162" s="112">
        <v>12</v>
      </c>
      <c r="D162" s="111" t="s">
        <v>1</v>
      </c>
      <c r="E162" s="112">
        <v>10000</v>
      </c>
      <c r="F162" s="112">
        <v>2000</v>
      </c>
      <c r="G162" s="118">
        <v>12000</v>
      </c>
      <c r="H162" s="114">
        <v>6</v>
      </c>
      <c r="I162" s="114">
        <v>8</v>
      </c>
      <c r="J162" s="114">
        <v>14</v>
      </c>
      <c r="K162" s="114">
        <v>1680.0000000000002</v>
      </c>
      <c r="L162" s="114">
        <v>684</v>
      </c>
      <c r="M162" s="114">
        <v>2364</v>
      </c>
      <c r="N162" s="115">
        <v>172368</v>
      </c>
      <c r="O162" s="116">
        <v>14364</v>
      </c>
    </row>
    <row r="163" spans="1:15" s="105" customFormat="1" ht="40" x14ac:dyDescent="0.15">
      <c r="A163" s="327" t="s">
        <v>784</v>
      </c>
      <c r="B163" s="318" t="s">
        <v>825</v>
      </c>
      <c r="C163" s="112">
        <v>10</v>
      </c>
      <c r="D163" s="111" t="s">
        <v>1</v>
      </c>
      <c r="E163" s="112">
        <v>18000</v>
      </c>
      <c r="F163" s="112">
        <v>4000</v>
      </c>
      <c r="G163" s="118">
        <v>22000</v>
      </c>
      <c r="H163" s="114">
        <v>6</v>
      </c>
      <c r="I163" s="114">
        <v>8</v>
      </c>
      <c r="J163" s="114">
        <v>14</v>
      </c>
      <c r="K163" s="114">
        <v>3080.0000000000005</v>
      </c>
      <c r="L163" s="114">
        <v>1254</v>
      </c>
      <c r="M163" s="114">
        <v>4334</v>
      </c>
      <c r="N163" s="115">
        <v>263340</v>
      </c>
      <c r="O163" s="116">
        <v>26334</v>
      </c>
    </row>
    <row r="164" spans="1:15" s="105" customFormat="1" ht="40" x14ac:dyDescent="0.15">
      <c r="A164" s="327" t="s">
        <v>785</v>
      </c>
      <c r="B164" s="318" t="s">
        <v>826</v>
      </c>
      <c r="C164" s="112">
        <v>4</v>
      </c>
      <c r="D164" s="111" t="s">
        <v>1</v>
      </c>
      <c r="E164" s="112">
        <v>6000</v>
      </c>
      <c r="F164" s="112">
        <v>1500</v>
      </c>
      <c r="G164" s="118">
        <v>7500</v>
      </c>
      <c r="H164" s="114">
        <v>6</v>
      </c>
      <c r="I164" s="114">
        <v>8</v>
      </c>
      <c r="J164" s="114">
        <v>14</v>
      </c>
      <c r="K164" s="114">
        <v>1050</v>
      </c>
      <c r="L164" s="114">
        <v>427.5</v>
      </c>
      <c r="M164" s="114">
        <v>1477.5</v>
      </c>
      <c r="N164" s="115">
        <v>35910</v>
      </c>
      <c r="O164" s="116">
        <v>8977.5</v>
      </c>
    </row>
    <row r="165" spans="1:15" s="105" customFormat="1" ht="40" x14ac:dyDescent="0.15">
      <c r="A165" s="327" t="s">
        <v>786</v>
      </c>
      <c r="B165" s="318" t="s">
        <v>827</v>
      </c>
      <c r="C165" s="112">
        <v>12</v>
      </c>
      <c r="D165" s="111" t="s">
        <v>1</v>
      </c>
      <c r="E165" s="112">
        <v>3000</v>
      </c>
      <c r="F165" s="112">
        <v>750</v>
      </c>
      <c r="G165" s="118">
        <v>3750</v>
      </c>
      <c r="H165" s="114">
        <v>6</v>
      </c>
      <c r="I165" s="114">
        <v>8</v>
      </c>
      <c r="J165" s="114">
        <v>14</v>
      </c>
      <c r="K165" s="114">
        <v>525</v>
      </c>
      <c r="L165" s="114">
        <v>213.75</v>
      </c>
      <c r="M165" s="114">
        <v>738.75</v>
      </c>
      <c r="N165" s="115">
        <v>53865</v>
      </c>
      <c r="O165" s="116">
        <v>4488.75</v>
      </c>
    </row>
    <row r="166" spans="1:15" s="105" customFormat="1" ht="40" x14ac:dyDescent="0.15">
      <c r="A166" s="327" t="s">
        <v>787</v>
      </c>
      <c r="B166" s="318" t="s">
        <v>828</v>
      </c>
      <c r="C166" s="112">
        <v>1</v>
      </c>
      <c r="D166" s="111" t="s">
        <v>1</v>
      </c>
      <c r="E166" s="112">
        <v>22000</v>
      </c>
      <c r="F166" s="112">
        <v>4500</v>
      </c>
      <c r="G166" s="118">
        <v>26500</v>
      </c>
      <c r="H166" s="114">
        <v>6</v>
      </c>
      <c r="I166" s="114">
        <v>8</v>
      </c>
      <c r="J166" s="114">
        <v>14</v>
      </c>
      <c r="K166" s="114">
        <v>3710.0000000000005</v>
      </c>
      <c r="L166" s="114">
        <v>1510.5</v>
      </c>
      <c r="M166" s="114">
        <v>5220.5</v>
      </c>
      <c r="N166" s="115">
        <v>31720.5</v>
      </c>
      <c r="O166" s="116">
        <v>31720.5</v>
      </c>
    </row>
    <row r="167" spans="1:15" s="105" customFormat="1" ht="40" x14ac:dyDescent="0.15">
      <c r="A167" s="327" t="s">
        <v>788</v>
      </c>
      <c r="B167" s="318" t="s">
        <v>829</v>
      </c>
      <c r="C167" s="112">
        <v>1</v>
      </c>
      <c r="D167" s="111" t="s">
        <v>1</v>
      </c>
      <c r="E167" s="112">
        <v>11000</v>
      </c>
      <c r="F167" s="112">
        <v>2500</v>
      </c>
      <c r="G167" s="118">
        <v>13500</v>
      </c>
      <c r="H167" s="114">
        <v>6</v>
      </c>
      <c r="I167" s="114">
        <v>8</v>
      </c>
      <c r="J167" s="114">
        <v>14</v>
      </c>
      <c r="K167" s="114">
        <v>1890.0000000000002</v>
      </c>
      <c r="L167" s="114">
        <v>769.5</v>
      </c>
      <c r="M167" s="114">
        <v>2659.5</v>
      </c>
      <c r="N167" s="115">
        <v>16159.5</v>
      </c>
      <c r="O167" s="116">
        <v>16159.5</v>
      </c>
    </row>
    <row r="168" spans="1:15" s="105" customFormat="1" ht="40" x14ac:dyDescent="0.15">
      <c r="A168" s="327" t="s">
        <v>789</v>
      </c>
      <c r="B168" s="318" t="s">
        <v>830</v>
      </c>
      <c r="C168" s="112">
        <v>1</v>
      </c>
      <c r="D168" s="111" t="s">
        <v>1</v>
      </c>
      <c r="E168" s="112">
        <v>45000</v>
      </c>
      <c r="F168" s="112">
        <v>9000</v>
      </c>
      <c r="G168" s="118">
        <v>54000</v>
      </c>
      <c r="H168" s="114">
        <v>6</v>
      </c>
      <c r="I168" s="114">
        <v>8</v>
      </c>
      <c r="J168" s="114">
        <v>14</v>
      </c>
      <c r="K168" s="114">
        <v>7560.0000000000009</v>
      </c>
      <c r="L168" s="114">
        <v>3078</v>
      </c>
      <c r="M168" s="114">
        <v>10638</v>
      </c>
      <c r="N168" s="115">
        <v>64638</v>
      </c>
      <c r="O168" s="116">
        <v>64638</v>
      </c>
    </row>
    <row r="169" spans="1:15" s="105" customFormat="1" ht="40" x14ac:dyDescent="0.15">
      <c r="A169" s="327" t="s">
        <v>790</v>
      </c>
      <c r="B169" s="318" t="s">
        <v>831</v>
      </c>
      <c r="C169" s="112">
        <v>1</v>
      </c>
      <c r="D169" s="111" t="s">
        <v>1</v>
      </c>
      <c r="E169" s="112">
        <v>9000</v>
      </c>
      <c r="F169" s="112">
        <v>2000</v>
      </c>
      <c r="G169" s="118">
        <v>11000</v>
      </c>
      <c r="H169" s="114">
        <v>6</v>
      </c>
      <c r="I169" s="114">
        <v>8</v>
      </c>
      <c r="J169" s="114">
        <v>14</v>
      </c>
      <c r="K169" s="114">
        <v>1540.0000000000002</v>
      </c>
      <c r="L169" s="114">
        <v>627</v>
      </c>
      <c r="M169" s="114">
        <v>2167</v>
      </c>
      <c r="N169" s="115">
        <v>13167</v>
      </c>
      <c r="O169" s="116">
        <v>13167</v>
      </c>
    </row>
    <row r="170" spans="1:15" s="105" customFormat="1" ht="40" x14ac:dyDescent="0.15">
      <c r="A170" s="327" t="s">
        <v>791</v>
      </c>
      <c r="B170" s="318" t="s">
        <v>832</v>
      </c>
      <c r="C170" s="112">
        <v>1</v>
      </c>
      <c r="D170" s="111" t="s">
        <v>1</v>
      </c>
      <c r="E170" s="112">
        <v>7500</v>
      </c>
      <c r="F170" s="112">
        <v>1500</v>
      </c>
      <c r="G170" s="118">
        <v>9000</v>
      </c>
      <c r="H170" s="114">
        <v>6</v>
      </c>
      <c r="I170" s="114">
        <v>8</v>
      </c>
      <c r="J170" s="114">
        <v>14</v>
      </c>
      <c r="K170" s="114">
        <v>1260.0000000000002</v>
      </c>
      <c r="L170" s="114">
        <v>513</v>
      </c>
      <c r="M170" s="114">
        <v>1773.0000000000002</v>
      </c>
      <c r="N170" s="115">
        <v>10773</v>
      </c>
      <c r="O170" s="116">
        <v>10773</v>
      </c>
    </row>
    <row r="171" spans="1:15" s="105" customFormat="1" ht="60" x14ac:dyDescent="0.15">
      <c r="A171" s="327" t="s">
        <v>792</v>
      </c>
      <c r="B171" s="318" t="s">
        <v>840</v>
      </c>
      <c r="C171" s="112">
        <v>18</v>
      </c>
      <c r="D171" s="111" t="s">
        <v>1</v>
      </c>
      <c r="E171" s="112">
        <v>55000</v>
      </c>
      <c r="F171" s="112">
        <v>11500</v>
      </c>
      <c r="G171" s="118">
        <v>66500</v>
      </c>
      <c r="H171" s="114">
        <v>6</v>
      </c>
      <c r="I171" s="114">
        <v>8</v>
      </c>
      <c r="J171" s="114">
        <v>14</v>
      </c>
      <c r="K171" s="114">
        <v>9310</v>
      </c>
      <c r="L171" s="114">
        <v>3790.5</v>
      </c>
      <c r="M171" s="114">
        <v>13100.5</v>
      </c>
      <c r="N171" s="115">
        <v>1432809</v>
      </c>
      <c r="O171" s="116">
        <v>79600.5</v>
      </c>
    </row>
    <row r="172" spans="1:15" s="105" customFormat="1" ht="40" x14ac:dyDescent="0.15">
      <c r="A172" s="327" t="s">
        <v>793</v>
      </c>
      <c r="B172" s="318" t="s">
        <v>833</v>
      </c>
      <c r="C172" s="112">
        <v>2</v>
      </c>
      <c r="D172" s="111" t="s">
        <v>1</v>
      </c>
      <c r="E172" s="112">
        <v>46000</v>
      </c>
      <c r="F172" s="112">
        <v>9000</v>
      </c>
      <c r="G172" s="118">
        <v>55000</v>
      </c>
      <c r="H172" s="114">
        <v>6</v>
      </c>
      <c r="I172" s="114">
        <v>8</v>
      </c>
      <c r="J172" s="114">
        <v>14</v>
      </c>
      <c r="K172" s="114">
        <v>7700.0000000000009</v>
      </c>
      <c r="L172" s="114">
        <v>3135</v>
      </c>
      <c r="M172" s="114">
        <v>10835</v>
      </c>
      <c r="N172" s="115">
        <v>131670</v>
      </c>
      <c r="O172" s="116">
        <v>65835</v>
      </c>
    </row>
    <row r="173" spans="1:15" s="105" customFormat="1" ht="40" x14ac:dyDescent="0.15">
      <c r="A173" s="327" t="s">
        <v>794</v>
      </c>
      <c r="B173" s="318" t="s">
        <v>834</v>
      </c>
      <c r="C173" s="112">
        <v>14</v>
      </c>
      <c r="D173" s="111" t="s">
        <v>1</v>
      </c>
      <c r="E173" s="112">
        <v>28000</v>
      </c>
      <c r="F173" s="112">
        <v>6000</v>
      </c>
      <c r="G173" s="118">
        <v>34000</v>
      </c>
      <c r="H173" s="114">
        <v>6</v>
      </c>
      <c r="I173" s="114">
        <v>8</v>
      </c>
      <c r="J173" s="114">
        <v>14</v>
      </c>
      <c r="K173" s="114">
        <v>4760</v>
      </c>
      <c r="L173" s="114">
        <v>1938</v>
      </c>
      <c r="M173" s="114">
        <v>6698</v>
      </c>
      <c r="N173" s="115">
        <v>569772</v>
      </c>
      <c r="O173" s="116">
        <v>40698</v>
      </c>
    </row>
    <row r="174" spans="1:15" s="105" customFormat="1" ht="60" x14ac:dyDescent="0.15">
      <c r="A174" s="327" t="s">
        <v>795</v>
      </c>
      <c r="B174" s="318" t="s">
        <v>839</v>
      </c>
      <c r="C174" s="112">
        <v>6</v>
      </c>
      <c r="D174" s="111" t="s">
        <v>1</v>
      </c>
      <c r="E174" s="112">
        <v>55000</v>
      </c>
      <c r="F174" s="112">
        <v>11500</v>
      </c>
      <c r="G174" s="118">
        <v>66500</v>
      </c>
      <c r="H174" s="114">
        <v>6</v>
      </c>
      <c r="I174" s="114">
        <v>8</v>
      </c>
      <c r="J174" s="114">
        <v>14</v>
      </c>
      <c r="K174" s="114">
        <v>9310</v>
      </c>
      <c r="L174" s="114">
        <v>3790.5</v>
      </c>
      <c r="M174" s="114">
        <v>13100.5</v>
      </c>
      <c r="N174" s="115">
        <v>477603</v>
      </c>
      <c r="O174" s="116">
        <v>79600.5</v>
      </c>
    </row>
    <row r="175" spans="1:15" s="105" customFormat="1" ht="40" x14ac:dyDescent="0.15">
      <c r="A175" s="327" t="s">
        <v>796</v>
      </c>
      <c r="B175" s="318" t="s">
        <v>835</v>
      </c>
      <c r="C175" s="112">
        <v>2</v>
      </c>
      <c r="D175" s="111" t="s">
        <v>1</v>
      </c>
      <c r="E175" s="112">
        <v>10000</v>
      </c>
      <c r="F175" s="112">
        <v>2000</v>
      </c>
      <c r="G175" s="118">
        <v>12000</v>
      </c>
      <c r="H175" s="114">
        <v>6</v>
      </c>
      <c r="I175" s="114">
        <v>8</v>
      </c>
      <c r="J175" s="114">
        <v>14</v>
      </c>
      <c r="K175" s="114">
        <v>1680.0000000000002</v>
      </c>
      <c r="L175" s="114">
        <v>684</v>
      </c>
      <c r="M175" s="114">
        <v>2364</v>
      </c>
      <c r="N175" s="115">
        <v>28728</v>
      </c>
      <c r="O175" s="116">
        <v>14364</v>
      </c>
    </row>
    <row r="176" spans="1:15" s="105" customFormat="1" ht="40" x14ac:dyDescent="0.15">
      <c r="A176" s="327" t="s">
        <v>797</v>
      </c>
      <c r="B176" s="318" t="s">
        <v>836</v>
      </c>
      <c r="C176" s="112">
        <v>5</v>
      </c>
      <c r="D176" s="111" t="s">
        <v>1</v>
      </c>
      <c r="E176" s="112">
        <v>7500</v>
      </c>
      <c r="F176" s="112">
        <v>2000</v>
      </c>
      <c r="G176" s="118">
        <v>9500</v>
      </c>
      <c r="H176" s="114">
        <v>6</v>
      </c>
      <c r="I176" s="114">
        <v>8</v>
      </c>
      <c r="J176" s="114">
        <v>14</v>
      </c>
      <c r="K176" s="114">
        <v>1330.0000000000002</v>
      </c>
      <c r="L176" s="114">
        <v>541.5</v>
      </c>
      <c r="M176" s="114">
        <v>1871.5000000000002</v>
      </c>
      <c r="N176" s="115">
        <v>56857.5</v>
      </c>
      <c r="O176" s="116">
        <v>11371.5</v>
      </c>
    </row>
    <row r="177" spans="1:15" s="105" customFormat="1" ht="40" x14ac:dyDescent="0.15">
      <c r="A177" s="327" t="s">
        <v>798</v>
      </c>
      <c r="B177" s="318" t="s">
        <v>837</v>
      </c>
      <c r="C177" s="112">
        <v>9</v>
      </c>
      <c r="D177" s="111" t="s">
        <v>1</v>
      </c>
      <c r="E177" s="112">
        <v>5000</v>
      </c>
      <c r="F177" s="112">
        <v>1500</v>
      </c>
      <c r="G177" s="118">
        <v>6500</v>
      </c>
      <c r="H177" s="114">
        <v>6</v>
      </c>
      <c r="I177" s="114">
        <v>8</v>
      </c>
      <c r="J177" s="114">
        <v>14</v>
      </c>
      <c r="K177" s="114">
        <v>910.00000000000011</v>
      </c>
      <c r="L177" s="114">
        <v>370.5</v>
      </c>
      <c r="M177" s="114">
        <v>1280.5</v>
      </c>
      <c r="N177" s="115">
        <v>70024.5</v>
      </c>
      <c r="O177" s="116">
        <v>7780.5</v>
      </c>
    </row>
    <row r="178" spans="1:15" s="105" customFormat="1" ht="40" x14ac:dyDescent="0.15">
      <c r="A178" s="327" t="s">
        <v>799</v>
      </c>
      <c r="B178" s="318" t="s">
        <v>838</v>
      </c>
      <c r="C178" s="112">
        <v>2</v>
      </c>
      <c r="D178" s="111" t="s">
        <v>1</v>
      </c>
      <c r="E178" s="112">
        <v>3000</v>
      </c>
      <c r="F178" s="112">
        <v>1000</v>
      </c>
      <c r="G178" s="118">
        <v>4000</v>
      </c>
      <c r="H178" s="114">
        <v>6</v>
      </c>
      <c r="I178" s="114">
        <v>8</v>
      </c>
      <c r="J178" s="114">
        <v>14</v>
      </c>
      <c r="K178" s="114">
        <v>560</v>
      </c>
      <c r="L178" s="114">
        <v>228</v>
      </c>
      <c r="M178" s="114">
        <v>788</v>
      </c>
      <c r="N178" s="115">
        <v>9576</v>
      </c>
      <c r="O178" s="116">
        <v>4788</v>
      </c>
    </row>
    <row r="179" spans="1:15" s="105" customFormat="1" ht="21" x14ac:dyDescent="0.25">
      <c r="A179" s="198"/>
      <c r="B179" s="203"/>
      <c r="C179" s="112"/>
      <c r="D179" s="111"/>
      <c r="E179" s="112"/>
      <c r="F179" s="112"/>
      <c r="G179" s="118"/>
      <c r="H179" s="114"/>
      <c r="I179" s="114"/>
      <c r="J179" s="114"/>
      <c r="K179" s="114"/>
      <c r="L179" s="114"/>
      <c r="M179" s="191" t="s">
        <v>343</v>
      </c>
      <c r="N179" s="120">
        <v>6937812</v>
      </c>
      <c r="O179" s="116"/>
    </row>
    <row r="180" spans="1:15" s="105" customFormat="1" ht="21" x14ac:dyDescent="0.15">
      <c r="A180" s="198">
        <v>8.2999999999999989</v>
      </c>
      <c r="B180" s="286" t="s">
        <v>745</v>
      </c>
      <c r="C180" s="112"/>
      <c r="D180" s="163"/>
      <c r="E180" s="112"/>
      <c r="F180" s="112"/>
      <c r="G180" s="118"/>
      <c r="H180" s="114"/>
      <c r="I180" s="114"/>
      <c r="J180" s="114"/>
      <c r="K180" s="114"/>
      <c r="L180" s="114"/>
      <c r="M180" s="114"/>
      <c r="N180" s="115"/>
      <c r="O180" s="116"/>
    </row>
    <row r="181" spans="1:15" s="105" customFormat="1" ht="21" x14ac:dyDescent="0.15">
      <c r="A181" s="293" t="s">
        <v>800</v>
      </c>
      <c r="B181" s="217" t="s">
        <v>872</v>
      </c>
      <c r="C181" s="112">
        <v>171</v>
      </c>
      <c r="D181" s="111" t="s">
        <v>892</v>
      </c>
      <c r="E181" s="112">
        <v>1000</v>
      </c>
      <c r="F181" s="112">
        <v>200</v>
      </c>
      <c r="G181" s="118">
        <v>1200</v>
      </c>
      <c r="H181" s="114">
        <v>6</v>
      </c>
      <c r="I181" s="114">
        <v>8</v>
      </c>
      <c r="J181" s="114">
        <v>14</v>
      </c>
      <c r="K181" s="114">
        <v>168.00000000000003</v>
      </c>
      <c r="L181" s="114">
        <v>68.400000000000006</v>
      </c>
      <c r="M181" s="114">
        <v>236.40000000000003</v>
      </c>
      <c r="N181" s="115">
        <v>245624.4</v>
      </c>
      <c r="O181" s="116">
        <v>1436.3999999999999</v>
      </c>
    </row>
    <row r="182" spans="1:15" s="105" customFormat="1" ht="21" x14ac:dyDescent="0.15">
      <c r="A182" s="293" t="s">
        <v>801</v>
      </c>
      <c r="B182" s="217" t="s">
        <v>602</v>
      </c>
      <c r="C182" s="112">
        <v>35</v>
      </c>
      <c r="D182" s="111" t="s">
        <v>892</v>
      </c>
      <c r="E182" s="112">
        <v>250</v>
      </c>
      <c r="F182" s="112">
        <v>150</v>
      </c>
      <c r="G182" s="118">
        <v>400</v>
      </c>
      <c r="H182" s="114">
        <v>6</v>
      </c>
      <c r="I182" s="114">
        <v>8</v>
      </c>
      <c r="J182" s="114">
        <v>14</v>
      </c>
      <c r="K182" s="114">
        <v>56.000000000000007</v>
      </c>
      <c r="L182" s="114">
        <v>22.8</v>
      </c>
      <c r="M182" s="114">
        <v>78.800000000000011</v>
      </c>
      <c r="N182" s="115">
        <v>16758</v>
      </c>
      <c r="O182" s="116">
        <v>478.8</v>
      </c>
    </row>
    <row r="183" spans="1:15" s="105" customFormat="1" ht="21" x14ac:dyDescent="0.15">
      <c r="A183" s="293" t="s">
        <v>802</v>
      </c>
      <c r="B183" s="217" t="s">
        <v>603</v>
      </c>
      <c r="C183" s="112">
        <v>749.5</v>
      </c>
      <c r="D183" s="111" t="s">
        <v>892</v>
      </c>
      <c r="E183" s="112">
        <v>150</v>
      </c>
      <c r="F183" s="112">
        <v>150</v>
      </c>
      <c r="G183" s="118">
        <v>300</v>
      </c>
      <c r="H183" s="114">
        <v>6</v>
      </c>
      <c r="I183" s="114">
        <v>8</v>
      </c>
      <c r="J183" s="114">
        <v>14</v>
      </c>
      <c r="K183" s="114">
        <v>42.000000000000007</v>
      </c>
      <c r="L183" s="114">
        <v>17.100000000000001</v>
      </c>
      <c r="M183" s="114">
        <v>59.100000000000009</v>
      </c>
      <c r="N183" s="115">
        <v>269145.45</v>
      </c>
      <c r="O183" s="116">
        <v>359.1</v>
      </c>
    </row>
    <row r="184" spans="1:15" s="105" customFormat="1" ht="21" x14ac:dyDescent="0.25">
      <c r="A184" s="198"/>
      <c r="B184" s="203"/>
      <c r="C184" s="112"/>
      <c r="D184" s="111"/>
      <c r="E184" s="112"/>
      <c r="F184" s="112"/>
      <c r="G184" s="118"/>
      <c r="H184" s="114"/>
      <c r="I184" s="114"/>
      <c r="J184" s="114"/>
      <c r="K184" s="114"/>
      <c r="L184" s="114"/>
      <c r="M184" s="191" t="s">
        <v>343</v>
      </c>
      <c r="N184" s="120">
        <v>531527.85000000009</v>
      </c>
      <c r="O184" s="116"/>
    </row>
    <row r="185" spans="1:15" s="105" customFormat="1" ht="21" x14ac:dyDescent="0.15">
      <c r="A185" s="328">
        <v>8.3999999999999986</v>
      </c>
      <c r="B185" s="286" t="s">
        <v>746</v>
      </c>
      <c r="C185" s="112"/>
      <c r="D185" s="163"/>
      <c r="E185" s="112"/>
      <c r="F185" s="112"/>
      <c r="G185" s="118"/>
      <c r="H185" s="114"/>
      <c r="I185" s="114"/>
      <c r="J185" s="114"/>
      <c r="K185" s="114"/>
      <c r="L185" s="114"/>
      <c r="M185" s="114"/>
      <c r="N185" s="115"/>
      <c r="O185" s="116"/>
    </row>
    <row r="186" spans="1:15" s="142" customFormat="1" ht="60" x14ac:dyDescent="0.25">
      <c r="A186" s="293" t="s">
        <v>803</v>
      </c>
      <c r="B186" s="318" t="s">
        <v>433</v>
      </c>
      <c r="C186" s="156">
        <v>4</v>
      </c>
      <c r="D186" s="141" t="s">
        <v>1</v>
      </c>
      <c r="E186" s="156">
        <v>22000</v>
      </c>
      <c r="F186" s="156">
        <v>3000</v>
      </c>
      <c r="G186" s="118">
        <v>25000</v>
      </c>
      <c r="H186" s="114">
        <v>6</v>
      </c>
      <c r="I186" s="114">
        <v>8</v>
      </c>
      <c r="J186" s="114">
        <v>14</v>
      </c>
      <c r="K186" s="114">
        <v>3500.0000000000005</v>
      </c>
      <c r="L186" s="114">
        <v>1425</v>
      </c>
      <c r="M186" s="114">
        <v>4925</v>
      </c>
      <c r="N186" s="115">
        <v>119700</v>
      </c>
      <c r="O186" s="116">
        <v>29925</v>
      </c>
    </row>
    <row r="187" spans="1:15" s="142" customFormat="1" ht="40" x14ac:dyDescent="0.25">
      <c r="A187" s="293" t="s">
        <v>804</v>
      </c>
      <c r="B187" s="318" t="s">
        <v>434</v>
      </c>
      <c r="C187" s="156">
        <v>16</v>
      </c>
      <c r="D187" s="141" t="s">
        <v>1</v>
      </c>
      <c r="E187" s="166">
        <v>3500</v>
      </c>
      <c r="F187" s="166">
        <v>500</v>
      </c>
      <c r="G187" s="118">
        <v>4000</v>
      </c>
      <c r="H187" s="114">
        <v>6</v>
      </c>
      <c r="I187" s="114">
        <v>8</v>
      </c>
      <c r="J187" s="114">
        <v>14</v>
      </c>
      <c r="K187" s="114">
        <v>560</v>
      </c>
      <c r="L187" s="114">
        <v>228</v>
      </c>
      <c r="M187" s="114">
        <v>788</v>
      </c>
      <c r="N187" s="115">
        <v>76608</v>
      </c>
      <c r="O187" s="116">
        <v>4788</v>
      </c>
    </row>
    <row r="188" spans="1:15" s="105" customFormat="1" ht="21" x14ac:dyDescent="0.25">
      <c r="A188" s="198"/>
      <c r="B188" s="203"/>
      <c r="C188" s="112"/>
      <c r="D188" s="111"/>
      <c r="E188" s="112"/>
      <c r="F188" s="112"/>
      <c r="G188" s="118"/>
      <c r="H188" s="114"/>
      <c r="I188" s="114"/>
      <c r="J188" s="114"/>
      <c r="K188" s="114"/>
      <c r="L188" s="114"/>
      <c r="M188" s="191" t="s">
        <v>343</v>
      </c>
      <c r="N188" s="120">
        <v>196308</v>
      </c>
      <c r="O188" s="116"/>
    </row>
    <row r="189" spans="1:15" s="105" customFormat="1" ht="21" x14ac:dyDescent="0.25">
      <c r="A189" s="193">
        <v>9</v>
      </c>
      <c r="B189" s="225" t="s">
        <v>398</v>
      </c>
      <c r="C189" s="121"/>
      <c r="D189" s="122"/>
      <c r="E189" s="121"/>
      <c r="F189" s="121"/>
      <c r="G189" s="219"/>
      <c r="H189" s="125"/>
      <c r="I189" s="125"/>
      <c r="J189" s="125"/>
      <c r="K189" s="125"/>
      <c r="L189" s="125"/>
      <c r="M189" s="125"/>
      <c r="N189" s="152"/>
      <c r="O189" s="153"/>
    </row>
    <row r="190" spans="1:15" s="6" customFormat="1" ht="20" x14ac:dyDescent="0.25">
      <c r="A190" s="198">
        <v>9.1</v>
      </c>
      <c r="B190" s="296" t="s">
        <v>430</v>
      </c>
      <c r="C190" s="204"/>
      <c r="D190" s="204"/>
      <c r="E190" s="204"/>
      <c r="F190" s="204"/>
      <c r="G190" s="205"/>
      <c r="H190" s="205"/>
      <c r="I190" s="205"/>
      <c r="J190" s="206"/>
      <c r="K190" s="206"/>
      <c r="L190" s="206"/>
      <c r="M190" s="206"/>
      <c r="N190" s="206"/>
      <c r="O190" s="207"/>
    </row>
    <row r="191" spans="1:15" s="168" customFormat="1" ht="40" x14ac:dyDescent="0.15">
      <c r="A191" s="293" t="s">
        <v>686</v>
      </c>
      <c r="B191" s="297" t="s">
        <v>881</v>
      </c>
      <c r="C191" s="167">
        <v>1</v>
      </c>
      <c r="D191" s="167" t="s">
        <v>1</v>
      </c>
      <c r="E191" s="167">
        <v>5000</v>
      </c>
      <c r="F191" s="167">
        <v>3000</v>
      </c>
      <c r="G191" s="118">
        <v>8000</v>
      </c>
      <c r="H191" s="114">
        <v>6</v>
      </c>
      <c r="I191" s="114">
        <v>8</v>
      </c>
      <c r="J191" s="114">
        <v>14</v>
      </c>
      <c r="K191" s="114">
        <v>1120</v>
      </c>
      <c r="L191" s="114">
        <v>456</v>
      </c>
      <c r="M191" s="114">
        <v>1576</v>
      </c>
      <c r="N191" s="115">
        <v>9576</v>
      </c>
      <c r="O191" s="116">
        <v>9576</v>
      </c>
    </row>
    <row r="192" spans="1:15" s="168" customFormat="1" ht="40" x14ac:dyDescent="0.15">
      <c r="A192" s="293" t="s">
        <v>687</v>
      </c>
      <c r="B192" s="297" t="s">
        <v>882</v>
      </c>
      <c r="C192" s="167">
        <v>1</v>
      </c>
      <c r="D192" s="167" t="s">
        <v>1</v>
      </c>
      <c r="E192" s="167">
        <v>5000</v>
      </c>
      <c r="F192" s="167">
        <v>3000</v>
      </c>
      <c r="G192" s="118">
        <v>8000</v>
      </c>
      <c r="H192" s="114">
        <v>6</v>
      </c>
      <c r="I192" s="114">
        <v>8</v>
      </c>
      <c r="J192" s="114">
        <v>14</v>
      </c>
      <c r="K192" s="114">
        <v>1120</v>
      </c>
      <c r="L192" s="114">
        <v>456</v>
      </c>
      <c r="M192" s="114">
        <v>1576</v>
      </c>
      <c r="N192" s="115">
        <v>9576</v>
      </c>
      <c r="O192" s="116">
        <v>9576</v>
      </c>
    </row>
    <row r="193" spans="1:15" s="171" customFormat="1" ht="40" x14ac:dyDescent="0.15">
      <c r="A193" s="293" t="s">
        <v>688</v>
      </c>
      <c r="B193" s="297" t="s">
        <v>883</v>
      </c>
      <c r="C193" s="167">
        <v>1</v>
      </c>
      <c r="D193" s="167" t="s">
        <v>1</v>
      </c>
      <c r="E193" s="167">
        <v>5000</v>
      </c>
      <c r="F193" s="167">
        <v>3000</v>
      </c>
      <c r="G193" s="118">
        <v>8000</v>
      </c>
      <c r="H193" s="114">
        <v>6</v>
      </c>
      <c r="I193" s="114">
        <v>8</v>
      </c>
      <c r="J193" s="114">
        <v>14</v>
      </c>
      <c r="K193" s="114">
        <v>1120</v>
      </c>
      <c r="L193" s="114">
        <v>456</v>
      </c>
      <c r="M193" s="114">
        <v>1576</v>
      </c>
      <c r="N193" s="115">
        <v>9576</v>
      </c>
      <c r="O193" s="116">
        <v>9576</v>
      </c>
    </row>
    <row r="194" spans="1:15" s="171" customFormat="1" ht="40" x14ac:dyDescent="0.15">
      <c r="A194" s="293" t="s">
        <v>689</v>
      </c>
      <c r="B194" s="298" t="s">
        <v>685</v>
      </c>
      <c r="C194" s="167">
        <v>1</v>
      </c>
      <c r="D194" s="167" t="s">
        <v>1</v>
      </c>
      <c r="E194" s="167">
        <v>10000</v>
      </c>
      <c r="F194" s="167">
        <v>4000</v>
      </c>
      <c r="G194" s="118">
        <v>14000</v>
      </c>
      <c r="H194" s="114">
        <v>6</v>
      </c>
      <c r="I194" s="114">
        <v>8</v>
      </c>
      <c r="J194" s="114">
        <v>14</v>
      </c>
      <c r="K194" s="114">
        <v>1960.0000000000002</v>
      </c>
      <c r="L194" s="114">
        <v>798</v>
      </c>
      <c r="M194" s="114">
        <v>2758</v>
      </c>
      <c r="N194" s="115">
        <v>16758</v>
      </c>
      <c r="O194" s="116">
        <v>16758</v>
      </c>
    </row>
    <row r="195" spans="1:15" s="171" customFormat="1" ht="21" x14ac:dyDescent="0.15">
      <c r="A195" s="293" t="s">
        <v>435</v>
      </c>
      <c r="B195" s="298" t="s">
        <v>693</v>
      </c>
      <c r="C195" s="167">
        <v>2</v>
      </c>
      <c r="D195" s="167" t="s">
        <v>1</v>
      </c>
      <c r="E195" s="167">
        <v>1000</v>
      </c>
      <c r="F195" s="167">
        <v>500</v>
      </c>
      <c r="G195" s="118">
        <v>1500</v>
      </c>
      <c r="H195" s="114">
        <v>6</v>
      </c>
      <c r="I195" s="114">
        <v>8</v>
      </c>
      <c r="J195" s="114">
        <v>14</v>
      </c>
      <c r="K195" s="114">
        <v>210.00000000000003</v>
      </c>
      <c r="L195" s="114">
        <v>85.5</v>
      </c>
      <c r="M195" s="114">
        <v>295.5</v>
      </c>
      <c r="N195" s="115">
        <v>3591</v>
      </c>
      <c r="O195" s="116">
        <v>1795.5</v>
      </c>
    </row>
    <row r="196" spans="1:15" s="171" customFormat="1" ht="21" x14ac:dyDescent="0.15">
      <c r="A196" s="293" t="s">
        <v>690</v>
      </c>
      <c r="B196" s="298" t="s">
        <v>884</v>
      </c>
      <c r="C196" s="167">
        <v>1</v>
      </c>
      <c r="D196" s="167" t="s">
        <v>1</v>
      </c>
      <c r="E196" s="167">
        <v>1000</v>
      </c>
      <c r="F196" s="167">
        <v>500</v>
      </c>
      <c r="G196" s="118">
        <v>1500</v>
      </c>
      <c r="H196" s="114">
        <v>6</v>
      </c>
      <c r="I196" s="114">
        <v>8</v>
      </c>
      <c r="J196" s="114">
        <v>14</v>
      </c>
      <c r="K196" s="114">
        <v>210.00000000000003</v>
      </c>
      <c r="L196" s="114">
        <v>85.5</v>
      </c>
      <c r="M196" s="114">
        <v>295.5</v>
      </c>
      <c r="N196" s="115">
        <v>1795.5</v>
      </c>
      <c r="O196" s="116">
        <v>1795.5</v>
      </c>
    </row>
    <row r="197" spans="1:15" s="5" customFormat="1" ht="21" x14ac:dyDescent="0.25">
      <c r="A197" s="293" t="s">
        <v>891</v>
      </c>
      <c r="B197" s="299" t="s">
        <v>367</v>
      </c>
      <c r="C197" s="167">
        <v>1</v>
      </c>
      <c r="D197" s="167" t="s">
        <v>5</v>
      </c>
      <c r="E197" s="167">
        <v>5000</v>
      </c>
      <c r="F197" s="167">
        <v>3000</v>
      </c>
      <c r="G197" s="118">
        <v>8000</v>
      </c>
      <c r="H197" s="114">
        <v>6</v>
      </c>
      <c r="I197" s="114">
        <v>8</v>
      </c>
      <c r="J197" s="114">
        <v>14</v>
      </c>
      <c r="K197" s="114">
        <v>1120</v>
      </c>
      <c r="L197" s="114">
        <v>456</v>
      </c>
      <c r="M197" s="114">
        <v>1576</v>
      </c>
      <c r="N197" s="115">
        <v>9576</v>
      </c>
      <c r="O197" s="116">
        <v>9576</v>
      </c>
    </row>
    <row r="198" spans="1:15" s="5" customFormat="1" ht="19" x14ac:dyDescent="0.25">
      <c r="A198" s="293"/>
      <c r="B198" s="178"/>
      <c r="C198" s="167"/>
      <c r="D198" s="167"/>
      <c r="E198" s="167"/>
      <c r="F198" s="167"/>
      <c r="G198" s="167"/>
      <c r="H198" s="172"/>
      <c r="I198" s="172"/>
      <c r="J198" s="172"/>
      <c r="K198" s="172"/>
      <c r="L198" s="172"/>
      <c r="M198" s="191" t="s">
        <v>343</v>
      </c>
      <c r="N198" s="184">
        <v>60448.5</v>
      </c>
      <c r="O198" s="208"/>
    </row>
    <row r="199" spans="1:15" s="5" customFormat="1" ht="19" x14ac:dyDescent="0.15">
      <c r="A199" s="198">
        <v>9.1999999999999993</v>
      </c>
      <c r="B199" s="226" t="s">
        <v>371</v>
      </c>
      <c r="C199" s="181"/>
      <c r="D199" s="181"/>
      <c r="E199" s="181"/>
      <c r="F199" s="181"/>
      <c r="G199" s="182"/>
      <c r="H199" s="182"/>
      <c r="I199" s="182"/>
      <c r="J199" s="182"/>
      <c r="K199" s="182"/>
      <c r="L199" s="182"/>
      <c r="M199" s="182"/>
      <c r="N199" s="183"/>
      <c r="O199" s="211"/>
    </row>
    <row r="200" spans="1:15" s="5" customFormat="1" ht="20" x14ac:dyDescent="0.15">
      <c r="A200" s="293" t="s">
        <v>378</v>
      </c>
      <c r="B200" s="154" t="s">
        <v>359</v>
      </c>
      <c r="C200" s="167"/>
      <c r="D200" s="167"/>
      <c r="E200" s="167"/>
      <c r="F200" s="167"/>
      <c r="G200" s="172"/>
      <c r="H200" s="172"/>
      <c r="I200" s="172"/>
      <c r="J200" s="172"/>
      <c r="K200" s="172"/>
      <c r="L200" s="172"/>
      <c r="M200" s="172"/>
      <c r="N200" s="173"/>
      <c r="O200" s="208"/>
    </row>
    <row r="201" spans="1:15" s="5" customFormat="1" ht="20" x14ac:dyDescent="0.15">
      <c r="A201" s="294" t="s">
        <v>436</v>
      </c>
      <c r="B201" s="227" t="s">
        <v>370</v>
      </c>
      <c r="C201" s="167">
        <v>60</v>
      </c>
      <c r="D201" s="167" t="s">
        <v>1</v>
      </c>
      <c r="E201" s="167">
        <v>1800</v>
      </c>
      <c r="F201" s="112">
        <v>450</v>
      </c>
      <c r="G201" s="167">
        <v>2250</v>
      </c>
      <c r="H201" s="167">
        <v>0</v>
      </c>
      <c r="I201" s="167">
        <v>8</v>
      </c>
      <c r="J201" s="165">
        <v>8</v>
      </c>
      <c r="K201" s="165">
        <v>180</v>
      </c>
      <c r="L201" s="165">
        <v>121.5</v>
      </c>
      <c r="M201" s="165">
        <v>301.5</v>
      </c>
      <c r="N201" s="115">
        <v>153090</v>
      </c>
      <c r="O201" s="209">
        <v>2551.5</v>
      </c>
    </row>
    <row r="202" spans="1:15" s="5" customFormat="1" ht="21" x14ac:dyDescent="0.15">
      <c r="A202" s="294" t="s">
        <v>437</v>
      </c>
      <c r="B202" s="227" t="s">
        <v>361</v>
      </c>
      <c r="C202" s="167">
        <v>240</v>
      </c>
      <c r="D202" s="167" t="s">
        <v>1</v>
      </c>
      <c r="E202" s="167">
        <v>100</v>
      </c>
      <c r="F202" s="112">
        <v>25</v>
      </c>
      <c r="G202" s="118">
        <v>125</v>
      </c>
      <c r="H202" s="114">
        <v>6</v>
      </c>
      <c r="I202" s="114">
        <v>8</v>
      </c>
      <c r="J202" s="114">
        <v>14</v>
      </c>
      <c r="K202" s="114">
        <v>17.5</v>
      </c>
      <c r="L202" s="114">
        <v>7.125</v>
      </c>
      <c r="M202" s="114">
        <v>24.625</v>
      </c>
      <c r="N202" s="115">
        <v>35910</v>
      </c>
      <c r="O202" s="116">
        <v>149.625</v>
      </c>
    </row>
    <row r="203" spans="1:15" s="5" customFormat="1" ht="21" x14ac:dyDescent="0.15">
      <c r="A203" s="294" t="s">
        <v>438</v>
      </c>
      <c r="B203" s="227" t="s">
        <v>841</v>
      </c>
      <c r="C203" s="167">
        <v>5</v>
      </c>
      <c r="D203" s="167" t="s">
        <v>1</v>
      </c>
      <c r="E203" s="167">
        <v>225</v>
      </c>
      <c r="F203" s="112">
        <v>56.25</v>
      </c>
      <c r="G203" s="118">
        <v>281.25</v>
      </c>
      <c r="H203" s="114">
        <v>6</v>
      </c>
      <c r="I203" s="114">
        <v>8</v>
      </c>
      <c r="J203" s="114">
        <v>14</v>
      </c>
      <c r="K203" s="114">
        <v>39.375000000000007</v>
      </c>
      <c r="L203" s="114">
        <v>16.03125</v>
      </c>
      <c r="M203" s="114">
        <v>55.406250000000007</v>
      </c>
      <c r="N203" s="115">
        <v>1683.28</v>
      </c>
      <c r="O203" s="116">
        <v>336.65600000000001</v>
      </c>
    </row>
    <row r="204" spans="1:15" s="5" customFormat="1" ht="21" x14ac:dyDescent="0.15">
      <c r="A204" s="294" t="s">
        <v>439</v>
      </c>
      <c r="B204" s="227" t="s">
        <v>365</v>
      </c>
      <c r="C204" s="167">
        <v>93</v>
      </c>
      <c r="D204" s="167" t="s">
        <v>1</v>
      </c>
      <c r="E204" s="167">
        <v>2500</v>
      </c>
      <c r="F204" s="112">
        <v>625</v>
      </c>
      <c r="G204" s="118">
        <v>3125</v>
      </c>
      <c r="H204" s="114">
        <v>6</v>
      </c>
      <c r="I204" s="114">
        <v>8</v>
      </c>
      <c r="J204" s="114">
        <v>14</v>
      </c>
      <c r="K204" s="114">
        <v>437.50000000000006</v>
      </c>
      <c r="L204" s="114">
        <v>178.125</v>
      </c>
      <c r="M204" s="114">
        <v>615.625</v>
      </c>
      <c r="N204" s="115">
        <v>347878.13</v>
      </c>
      <c r="O204" s="116">
        <v>3740.625053763441</v>
      </c>
    </row>
    <row r="205" spans="1:15" s="5" customFormat="1" ht="21" x14ac:dyDescent="0.15">
      <c r="A205" s="294" t="s">
        <v>440</v>
      </c>
      <c r="B205" s="227" t="s">
        <v>652</v>
      </c>
      <c r="C205" s="167">
        <v>47</v>
      </c>
      <c r="D205" s="167" t="s">
        <v>1</v>
      </c>
      <c r="E205" s="167">
        <v>2500</v>
      </c>
      <c r="F205" s="112">
        <v>625</v>
      </c>
      <c r="G205" s="118">
        <v>3125</v>
      </c>
      <c r="H205" s="114">
        <v>6</v>
      </c>
      <c r="I205" s="114">
        <v>8</v>
      </c>
      <c r="J205" s="114">
        <v>14</v>
      </c>
      <c r="K205" s="114">
        <v>437.50000000000006</v>
      </c>
      <c r="L205" s="114">
        <v>178.125</v>
      </c>
      <c r="M205" s="114">
        <v>615.625</v>
      </c>
      <c r="N205" s="115">
        <v>175809.38</v>
      </c>
      <c r="O205" s="116">
        <v>3740.6251063829786</v>
      </c>
    </row>
    <row r="206" spans="1:15" s="5" customFormat="1" ht="21" x14ac:dyDescent="0.15">
      <c r="A206" s="294" t="s">
        <v>656</v>
      </c>
      <c r="B206" s="227" t="s">
        <v>429</v>
      </c>
      <c r="C206" s="167">
        <v>93</v>
      </c>
      <c r="D206" s="167" t="s">
        <v>1</v>
      </c>
      <c r="E206" s="167">
        <v>200</v>
      </c>
      <c r="F206" s="112">
        <v>50</v>
      </c>
      <c r="G206" s="118">
        <v>250</v>
      </c>
      <c r="H206" s="114">
        <v>6</v>
      </c>
      <c r="I206" s="114">
        <v>8</v>
      </c>
      <c r="J206" s="114">
        <v>14</v>
      </c>
      <c r="K206" s="114">
        <v>35</v>
      </c>
      <c r="L206" s="114">
        <v>14.25</v>
      </c>
      <c r="M206" s="114">
        <v>49.25</v>
      </c>
      <c r="N206" s="115">
        <v>27830.25</v>
      </c>
      <c r="O206" s="116">
        <v>299.25</v>
      </c>
    </row>
    <row r="207" spans="1:15" s="5" customFormat="1" ht="20" x14ac:dyDescent="0.15">
      <c r="A207" s="293" t="s">
        <v>380</v>
      </c>
      <c r="B207" s="228" t="s">
        <v>360</v>
      </c>
      <c r="C207" s="167"/>
      <c r="D207" s="167"/>
      <c r="E207" s="167"/>
      <c r="F207" s="167"/>
      <c r="G207" s="172"/>
      <c r="H207" s="172"/>
      <c r="I207" s="172"/>
      <c r="J207" s="172"/>
      <c r="K207" s="172"/>
      <c r="L207" s="172"/>
      <c r="M207" s="172"/>
      <c r="N207" s="173"/>
      <c r="O207" s="208"/>
    </row>
    <row r="208" spans="1:15" s="5" customFormat="1" ht="21" x14ac:dyDescent="0.25">
      <c r="A208" s="294" t="s">
        <v>441</v>
      </c>
      <c r="B208" s="180" t="s">
        <v>355</v>
      </c>
      <c r="C208" s="167">
        <v>620</v>
      </c>
      <c r="D208" s="167" t="s">
        <v>1</v>
      </c>
      <c r="E208" s="167">
        <v>39.6</v>
      </c>
      <c r="F208" s="112">
        <v>9.9</v>
      </c>
      <c r="G208" s="118">
        <v>49.5</v>
      </c>
      <c r="H208" s="114">
        <v>6</v>
      </c>
      <c r="I208" s="114">
        <v>8</v>
      </c>
      <c r="J208" s="114">
        <v>14</v>
      </c>
      <c r="K208" s="114">
        <v>6.9300000000000006</v>
      </c>
      <c r="L208" s="114">
        <v>2.8215000000000003</v>
      </c>
      <c r="M208" s="114">
        <v>9.7515000000000001</v>
      </c>
      <c r="N208" s="115">
        <v>36735.93</v>
      </c>
      <c r="O208" s="116">
        <v>59.2515</v>
      </c>
    </row>
    <row r="209" spans="1:15" s="5" customFormat="1" ht="21" x14ac:dyDescent="0.25">
      <c r="A209" s="294" t="s">
        <v>442</v>
      </c>
      <c r="B209" s="180" t="s">
        <v>357</v>
      </c>
      <c r="C209" s="167">
        <v>100</v>
      </c>
      <c r="D209" s="167" t="s">
        <v>352</v>
      </c>
      <c r="E209" s="167">
        <v>50</v>
      </c>
      <c r="F209" s="112">
        <v>12.5</v>
      </c>
      <c r="G209" s="118">
        <v>62.5</v>
      </c>
      <c r="H209" s="114">
        <v>6</v>
      </c>
      <c r="I209" s="114">
        <v>8</v>
      </c>
      <c r="J209" s="114">
        <v>14</v>
      </c>
      <c r="K209" s="114">
        <v>8.75</v>
      </c>
      <c r="L209" s="114">
        <v>3.5625</v>
      </c>
      <c r="M209" s="114">
        <v>12.3125</v>
      </c>
      <c r="N209" s="115">
        <v>7481.25</v>
      </c>
      <c r="O209" s="116">
        <v>74.8125</v>
      </c>
    </row>
    <row r="210" spans="1:15" s="5" customFormat="1" ht="21" x14ac:dyDescent="0.25">
      <c r="A210" s="294" t="s">
        <v>443</v>
      </c>
      <c r="B210" s="180" t="s">
        <v>358</v>
      </c>
      <c r="C210" s="167">
        <v>1</v>
      </c>
      <c r="D210" s="167" t="s">
        <v>5</v>
      </c>
      <c r="E210" s="167">
        <v>3000</v>
      </c>
      <c r="F210" s="112">
        <v>750</v>
      </c>
      <c r="G210" s="118">
        <v>3750</v>
      </c>
      <c r="H210" s="114">
        <v>6</v>
      </c>
      <c r="I210" s="114">
        <v>8</v>
      </c>
      <c r="J210" s="114">
        <v>14</v>
      </c>
      <c r="K210" s="114">
        <v>525</v>
      </c>
      <c r="L210" s="114">
        <v>213.75</v>
      </c>
      <c r="M210" s="114">
        <v>738.75</v>
      </c>
      <c r="N210" s="115">
        <v>4488.75</v>
      </c>
      <c r="O210" s="116">
        <v>4488.75</v>
      </c>
    </row>
    <row r="211" spans="1:15" s="5" customFormat="1" ht="21" x14ac:dyDescent="0.25">
      <c r="A211" s="294" t="s">
        <v>692</v>
      </c>
      <c r="B211" s="180" t="s">
        <v>423</v>
      </c>
      <c r="C211" s="167">
        <v>1</v>
      </c>
      <c r="D211" s="167" t="s">
        <v>5</v>
      </c>
      <c r="E211" s="167">
        <v>10000</v>
      </c>
      <c r="F211" s="112">
        <v>2500</v>
      </c>
      <c r="G211" s="118">
        <v>12500</v>
      </c>
      <c r="H211" s="114">
        <v>6</v>
      </c>
      <c r="I211" s="114">
        <v>8</v>
      </c>
      <c r="J211" s="114">
        <v>14</v>
      </c>
      <c r="K211" s="114">
        <v>1750.0000000000002</v>
      </c>
      <c r="L211" s="114">
        <v>712.5</v>
      </c>
      <c r="M211" s="114">
        <v>2462.5</v>
      </c>
      <c r="N211" s="115">
        <v>14962.5</v>
      </c>
      <c r="O211" s="116">
        <v>14962.5</v>
      </c>
    </row>
    <row r="212" spans="1:15" s="5" customFormat="1" ht="20" x14ac:dyDescent="0.15">
      <c r="A212" s="293" t="s">
        <v>381</v>
      </c>
      <c r="B212" s="228" t="s">
        <v>431</v>
      </c>
      <c r="C212" s="167"/>
      <c r="D212" s="167"/>
      <c r="E212" s="167"/>
      <c r="F212" s="112"/>
      <c r="G212" s="167"/>
      <c r="H212" s="172"/>
      <c r="I212" s="172"/>
      <c r="J212" s="172"/>
      <c r="K212" s="172"/>
      <c r="L212" s="172"/>
      <c r="M212" s="172"/>
      <c r="N212" s="173"/>
      <c r="O212" s="208"/>
    </row>
    <row r="213" spans="1:15" s="169" customFormat="1" ht="21" x14ac:dyDescent="0.25">
      <c r="A213" s="294" t="s">
        <v>444</v>
      </c>
      <c r="B213" s="180" t="s">
        <v>650</v>
      </c>
      <c r="C213" s="167">
        <v>450</v>
      </c>
      <c r="D213" s="167" t="s">
        <v>98</v>
      </c>
      <c r="E213" s="167">
        <v>60</v>
      </c>
      <c r="F213" s="112">
        <v>15</v>
      </c>
      <c r="G213" s="118">
        <v>75</v>
      </c>
      <c r="H213" s="114">
        <v>6</v>
      </c>
      <c r="I213" s="114">
        <v>8</v>
      </c>
      <c r="J213" s="114">
        <v>14</v>
      </c>
      <c r="K213" s="114">
        <v>10.500000000000002</v>
      </c>
      <c r="L213" s="114">
        <v>4.2750000000000004</v>
      </c>
      <c r="M213" s="114">
        <v>14.775000000000002</v>
      </c>
      <c r="N213" s="115">
        <v>40398.75</v>
      </c>
      <c r="O213" s="116">
        <v>89.775000000000006</v>
      </c>
    </row>
    <row r="214" spans="1:15" s="5" customFormat="1" ht="21" x14ac:dyDescent="0.25">
      <c r="A214" s="294" t="s">
        <v>445</v>
      </c>
      <c r="B214" s="180" t="s">
        <v>427</v>
      </c>
      <c r="C214" s="167">
        <v>1403</v>
      </c>
      <c r="D214" s="167" t="s">
        <v>98</v>
      </c>
      <c r="E214" s="167">
        <v>40</v>
      </c>
      <c r="F214" s="112">
        <v>10</v>
      </c>
      <c r="G214" s="118">
        <v>50</v>
      </c>
      <c r="H214" s="114">
        <v>6</v>
      </c>
      <c r="I214" s="114">
        <v>8</v>
      </c>
      <c r="J214" s="114">
        <v>14</v>
      </c>
      <c r="K214" s="114">
        <v>7.0000000000000009</v>
      </c>
      <c r="L214" s="114">
        <v>2.85</v>
      </c>
      <c r="M214" s="114">
        <v>9.8500000000000014</v>
      </c>
      <c r="N214" s="115">
        <v>83969.55</v>
      </c>
      <c r="O214" s="116">
        <v>59.85</v>
      </c>
    </row>
    <row r="215" spans="1:15" s="5" customFormat="1" ht="21" x14ac:dyDescent="0.25">
      <c r="A215" s="294" t="s">
        <v>446</v>
      </c>
      <c r="B215" s="180" t="s">
        <v>424</v>
      </c>
      <c r="C215" s="167">
        <v>5006.2</v>
      </c>
      <c r="D215" s="167" t="s">
        <v>98</v>
      </c>
      <c r="E215" s="167">
        <v>25</v>
      </c>
      <c r="F215" s="112">
        <v>6.25</v>
      </c>
      <c r="G215" s="118">
        <v>31.25</v>
      </c>
      <c r="H215" s="114">
        <v>6</v>
      </c>
      <c r="I215" s="114">
        <v>8</v>
      </c>
      <c r="J215" s="114">
        <v>14</v>
      </c>
      <c r="K215" s="114">
        <v>4.375</v>
      </c>
      <c r="L215" s="114">
        <v>1.78125</v>
      </c>
      <c r="M215" s="114">
        <v>6.15625</v>
      </c>
      <c r="N215" s="115">
        <v>187263.17</v>
      </c>
      <c r="O215" s="116">
        <v>37.406250249690387</v>
      </c>
    </row>
    <row r="216" spans="1:15" s="5" customFormat="1" ht="19" x14ac:dyDescent="0.25">
      <c r="A216" s="210"/>
      <c r="B216" s="177"/>
      <c r="C216" s="167"/>
      <c r="D216" s="167"/>
      <c r="E216" s="167"/>
      <c r="F216" s="167"/>
      <c r="G216" s="167"/>
      <c r="H216" s="165"/>
      <c r="I216" s="165"/>
      <c r="J216" s="165"/>
      <c r="K216" s="174"/>
      <c r="L216" s="165"/>
      <c r="M216" s="191" t="s">
        <v>343</v>
      </c>
      <c r="N216" s="184">
        <v>1117500.9400000002</v>
      </c>
      <c r="O216" s="209"/>
    </row>
    <row r="217" spans="1:15" s="5" customFormat="1" ht="20" x14ac:dyDescent="0.15">
      <c r="A217" s="198">
        <v>9.2999999999999989</v>
      </c>
      <c r="B217" s="229" t="s">
        <v>354</v>
      </c>
      <c r="C217" s="181"/>
      <c r="D217" s="181"/>
      <c r="E217" s="181"/>
      <c r="F217" s="181"/>
      <c r="G217" s="181"/>
      <c r="H217" s="182"/>
      <c r="I217" s="182"/>
      <c r="J217" s="182"/>
      <c r="K217" s="182"/>
      <c r="L217" s="182"/>
      <c r="M217" s="182"/>
      <c r="N217" s="186"/>
      <c r="O217" s="211"/>
    </row>
    <row r="218" spans="1:15" s="5" customFormat="1" ht="20" x14ac:dyDescent="0.15">
      <c r="A218" s="293" t="s">
        <v>382</v>
      </c>
      <c r="B218" s="154" t="s">
        <v>353</v>
      </c>
      <c r="C218" s="181"/>
      <c r="D218" s="181"/>
      <c r="E218" s="181"/>
      <c r="F218" s="181"/>
      <c r="G218" s="181"/>
      <c r="H218" s="182"/>
      <c r="I218" s="182"/>
      <c r="J218" s="182"/>
      <c r="K218" s="182"/>
      <c r="L218" s="182"/>
      <c r="M218" s="182"/>
      <c r="N218" s="186"/>
      <c r="O218" s="211"/>
    </row>
    <row r="219" spans="1:15" s="105" customFormat="1" ht="21" x14ac:dyDescent="0.15">
      <c r="A219" s="294" t="s">
        <v>448</v>
      </c>
      <c r="B219" s="343" t="s">
        <v>874</v>
      </c>
      <c r="C219" s="110">
        <v>502</v>
      </c>
      <c r="D219" s="167" t="s">
        <v>1</v>
      </c>
      <c r="E219" s="112">
        <v>0</v>
      </c>
      <c r="F219" s="112">
        <v>150</v>
      </c>
      <c r="G219" s="118">
        <v>150</v>
      </c>
      <c r="H219" s="114">
        <v>6</v>
      </c>
      <c r="I219" s="114">
        <v>8</v>
      </c>
      <c r="J219" s="114">
        <v>14</v>
      </c>
      <c r="K219" s="114">
        <v>21.000000000000004</v>
      </c>
      <c r="L219" s="114">
        <v>8.5500000000000007</v>
      </c>
      <c r="M219" s="114">
        <v>29.550000000000004</v>
      </c>
      <c r="N219" s="115">
        <v>90134.1</v>
      </c>
      <c r="O219" s="116">
        <v>179.55</v>
      </c>
    </row>
    <row r="220" spans="1:15" s="105" customFormat="1" ht="21" x14ac:dyDescent="0.15">
      <c r="A220" s="294" t="s">
        <v>449</v>
      </c>
      <c r="B220" s="343" t="s">
        <v>880</v>
      </c>
      <c r="C220" s="110">
        <v>147</v>
      </c>
      <c r="D220" s="167" t="s">
        <v>1</v>
      </c>
      <c r="E220" s="112">
        <v>0</v>
      </c>
      <c r="F220" s="112">
        <v>150</v>
      </c>
      <c r="G220" s="118">
        <v>150</v>
      </c>
      <c r="H220" s="114">
        <v>6</v>
      </c>
      <c r="I220" s="114">
        <v>8</v>
      </c>
      <c r="J220" s="114">
        <v>14</v>
      </c>
      <c r="K220" s="114">
        <v>21.000000000000004</v>
      </c>
      <c r="L220" s="114">
        <v>8.5500000000000007</v>
      </c>
      <c r="M220" s="114">
        <v>29.550000000000004</v>
      </c>
      <c r="N220" s="115">
        <v>26393.85</v>
      </c>
      <c r="O220" s="116">
        <v>179.54999999999998</v>
      </c>
    </row>
    <row r="221" spans="1:15" s="5" customFormat="1" ht="21" x14ac:dyDescent="0.15">
      <c r="A221" s="294" t="s">
        <v>450</v>
      </c>
      <c r="B221" s="185" t="s">
        <v>873</v>
      </c>
      <c r="C221" s="167">
        <v>40</v>
      </c>
      <c r="D221" s="167" t="s">
        <v>1</v>
      </c>
      <c r="E221" s="167">
        <v>1500</v>
      </c>
      <c r="F221" s="112">
        <v>375</v>
      </c>
      <c r="G221" s="118">
        <v>1875</v>
      </c>
      <c r="H221" s="114">
        <v>6</v>
      </c>
      <c r="I221" s="114">
        <v>8</v>
      </c>
      <c r="J221" s="114">
        <v>14</v>
      </c>
      <c r="K221" s="114">
        <v>262.5</v>
      </c>
      <c r="L221" s="114">
        <v>106.875</v>
      </c>
      <c r="M221" s="114">
        <v>369.375</v>
      </c>
      <c r="N221" s="115">
        <v>89775</v>
      </c>
      <c r="O221" s="116">
        <v>2244.375</v>
      </c>
    </row>
    <row r="222" spans="1:15" s="5" customFormat="1" ht="21" x14ac:dyDescent="0.15">
      <c r="A222" s="294" t="s">
        <v>451</v>
      </c>
      <c r="B222" s="185" t="s">
        <v>921</v>
      </c>
      <c r="C222" s="167">
        <v>290</v>
      </c>
      <c r="D222" s="167" t="s">
        <v>1</v>
      </c>
      <c r="E222" s="167">
        <v>2000</v>
      </c>
      <c r="F222" s="112">
        <v>500</v>
      </c>
      <c r="G222" s="118">
        <v>2500</v>
      </c>
      <c r="H222" s="114">
        <v>6</v>
      </c>
      <c r="I222" s="114">
        <v>8</v>
      </c>
      <c r="J222" s="114">
        <v>14</v>
      </c>
      <c r="K222" s="114">
        <v>350.00000000000006</v>
      </c>
      <c r="L222" s="114">
        <v>142.5</v>
      </c>
      <c r="M222" s="114">
        <v>492.50000000000006</v>
      </c>
      <c r="N222" s="115">
        <v>867825</v>
      </c>
      <c r="O222" s="116">
        <v>2992.5</v>
      </c>
    </row>
    <row r="223" spans="1:15" s="5" customFormat="1" ht="21" x14ac:dyDescent="0.15">
      <c r="A223" s="294" t="s">
        <v>593</v>
      </c>
      <c r="B223" s="185" t="s">
        <v>843</v>
      </c>
      <c r="C223" s="167">
        <v>30</v>
      </c>
      <c r="D223" s="167" t="s">
        <v>1</v>
      </c>
      <c r="E223" s="167">
        <v>1000</v>
      </c>
      <c r="F223" s="112">
        <v>250</v>
      </c>
      <c r="G223" s="118">
        <v>1250</v>
      </c>
      <c r="H223" s="114">
        <v>6</v>
      </c>
      <c r="I223" s="114">
        <v>8</v>
      </c>
      <c r="J223" s="114">
        <v>14</v>
      </c>
      <c r="K223" s="114">
        <v>175.00000000000003</v>
      </c>
      <c r="L223" s="114">
        <v>71.25</v>
      </c>
      <c r="M223" s="114">
        <v>246.25000000000003</v>
      </c>
      <c r="N223" s="115">
        <v>44887.5</v>
      </c>
      <c r="O223" s="116">
        <v>1496.25</v>
      </c>
    </row>
    <row r="224" spans="1:15" s="5" customFormat="1" ht="21" x14ac:dyDescent="0.15">
      <c r="A224" s="294" t="s">
        <v>679</v>
      </c>
      <c r="B224" s="227" t="s">
        <v>422</v>
      </c>
      <c r="C224" s="167">
        <v>342</v>
      </c>
      <c r="D224" s="167" t="s">
        <v>1</v>
      </c>
      <c r="E224" s="167">
        <v>500</v>
      </c>
      <c r="F224" s="112">
        <v>125</v>
      </c>
      <c r="G224" s="118">
        <v>625</v>
      </c>
      <c r="H224" s="114">
        <v>6</v>
      </c>
      <c r="I224" s="114">
        <v>8</v>
      </c>
      <c r="J224" s="114">
        <v>14</v>
      </c>
      <c r="K224" s="114">
        <v>87.500000000000014</v>
      </c>
      <c r="L224" s="114">
        <v>35.625</v>
      </c>
      <c r="M224" s="114">
        <v>123.12500000000001</v>
      </c>
      <c r="N224" s="115">
        <v>255858.75</v>
      </c>
      <c r="O224" s="116">
        <v>748.125</v>
      </c>
    </row>
    <row r="225" spans="1:15" s="5" customFormat="1" ht="21" x14ac:dyDescent="0.15">
      <c r="A225" s="294" t="s">
        <v>842</v>
      </c>
      <c r="B225" s="227" t="s">
        <v>651</v>
      </c>
      <c r="C225" s="167">
        <v>111</v>
      </c>
      <c r="D225" s="167" t="s">
        <v>1</v>
      </c>
      <c r="E225" s="167">
        <v>500</v>
      </c>
      <c r="F225" s="112">
        <v>125</v>
      </c>
      <c r="G225" s="118">
        <v>625</v>
      </c>
      <c r="H225" s="114">
        <v>6</v>
      </c>
      <c r="I225" s="114">
        <v>8</v>
      </c>
      <c r="J225" s="114">
        <v>14</v>
      </c>
      <c r="K225" s="114">
        <v>87.500000000000014</v>
      </c>
      <c r="L225" s="114">
        <v>35.625</v>
      </c>
      <c r="M225" s="114">
        <v>123.12500000000001</v>
      </c>
      <c r="N225" s="115">
        <v>83041.88</v>
      </c>
      <c r="O225" s="116">
        <v>748.12504504504511</v>
      </c>
    </row>
    <row r="226" spans="1:15" s="5" customFormat="1" ht="20" x14ac:dyDescent="0.15">
      <c r="A226" s="294" t="s">
        <v>876</v>
      </c>
      <c r="B226" s="227" t="s">
        <v>428</v>
      </c>
      <c r="C226" s="167">
        <v>60</v>
      </c>
      <c r="D226" s="167" t="s">
        <v>1</v>
      </c>
      <c r="E226" s="167">
        <v>1500</v>
      </c>
      <c r="F226" s="112">
        <v>375</v>
      </c>
      <c r="G226" s="167">
        <v>1875</v>
      </c>
      <c r="H226" s="167">
        <v>0</v>
      </c>
      <c r="I226" s="167">
        <v>8</v>
      </c>
      <c r="J226" s="165">
        <v>8</v>
      </c>
      <c r="K226" s="174">
        <v>150</v>
      </c>
      <c r="L226" s="165">
        <v>101.25</v>
      </c>
      <c r="M226" s="165">
        <v>251.25</v>
      </c>
      <c r="N226" s="115">
        <v>127575</v>
      </c>
      <c r="O226" s="209">
        <v>2126.25</v>
      </c>
    </row>
    <row r="227" spans="1:15" s="5" customFormat="1" ht="20" x14ac:dyDescent="0.15">
      <c r="A227" s="293" t="s">
        <v>447</v>
      </c>
      <c r="B227" s="154" t="s">
        <v>359</v>
      </c>
      <c r="C227" s="167"/>
      <c r="D227" s="167"/>
      <c r="E227" s="167"/>
      <c r="F227" s="112"/>
      <c r="G227" s="167"/>
      <c r="H227" s="165"/>
      <c r="I227" s="165"/>
      <c r="J227" s="165"/>
      <c r="K227" s="174"/>
      <c r="L227" s="165"/>
      <c r="M227" s="165"/>
      <c r="N227" s="165"/>
      <c r="O227" s="209"/>
    </row>
    <row r="228" spans="1:15" s="5" customFormat="1" ht="21" x14ac:dyDescent="0.15">
      <c r="A228" s="294" t="s">
        <v>452</v>
      </c>
      <c r="B228" s="227" t="s">
        <v>425</v>
      </c>
      <c r="C228" s="167">
        <v>27</v>
      </c>
      <c r="D228" s="167" t="s">
        <v>1</v>
      </c>
      <c r="E228" s="167">
        <v>100</v>
      </c>
      <c r="F228" s="112">
        <v>25</v>
      </c>
      <c r="G228" s="118">
        <v>125</v>
      </c>
      <c r="H228" s="114">
        <v>6</v>
      </c>
      <c r="I228" s="114">
        <v>8</v>
      </c>
      <c r="J228" s="114">
        <v>14</v>
      </c>
      <c r="K228" s="114">
        <v>17.5</v>
      </c>
      <c r="L228" s="114">
        <v>7.125</v>
      </c>
      <c r="M228" s="114">
        <v>24.625</v>
      </c>
      <c r="N228" s="115">
        <v>4039.88</v>
      </c>
      <c r="O228" s="116">
        <v>149.62518518518519</v>
      </c>
    </row>
    <row r="229" spans="1:15" s="5" customFormat="1" ht="21" x14ac:dyDescent="0.15">
      <c r="A229" s="294" t="s">
        <v>453</v>
      </c>
      <c r="B229" s="227" t="s">
        <v>362</v>
      </c>
      <c r="C229" s="167">
        <v>79</v>
      </c>
      <c r="D229" s="167" t="s">
        <v>1</v>
      </c>
      <c r="E229" s="167">
        <v>100</v>
      </c>
      <c r="F229" s="112">
        <v>25</v>
      </c>
      <c r="G229" s="118">
        <v>125</v>
      </c>
      <c r="H229" s="114">
        <v>6</v>
      </c>
      <c r="I229" s="114">
        <v>8</v>
      </c>
      <c r="J229" s="114">
        <v>14</v>
      </c>
      <c r="K229" s="114">
        <v>17.5</v>
      </c>
      <c r="L229" s="114">
        <v>7.125</v>
      </c>
      <c r="M229" s="114">
        <v>24.625</v>
      </c>
      <c r="N229" s="115">
        <v>11820.38</v>
      </c>
      <c r="O229" s="116">
        <v>149.62506329113924</v>
      </c>
    </row>
    <row r="230" spans="1:15" s="5" customFormat="1" ht="21" x14ac:dyDescent="0.15">
      <c r="A230" s="294" t="s">
        <v>454</v>
      </c>
      <c r="B230" s="227" t="s">
        <v>363</v>
      </c>
      <c r="C230" s="167">
        <v>36</v>
      </c>
      <c r="D230" s="167" t="s">
        <v>1</v>
      </c>
      <c r="E230" s="167">
        <v>100</v>
      </c>
      <c r="F230" s="112">
        <v>25</v>
      </c>
      <c r="G230" s="118">
        <v>125</v>
      </c>
      <c r="H230" s="114">
        <v>6</v>
      </c>
      <c r="I230" s="114">
        <v>8</v>
      </c>
      <c r="J230" s="114">
        <v>14</v>
      </c>
      <c r="K230" s="114">
        <v>17.5</v>
      </c>
      <c r="L230" s="114">
        <v>7.125</v>
      </c>
      <c r="M230" s="114">
        <v>24.625</v>
      </c>
      <c r="N230" s="115">
        <v>5386.5</v>
      </c>
      <c r="O230" s="116">
        <v>149.625</v>
      </c>
    </row>
    <row r="231" spans="1:15" s="5" customFormat="1" ht="21" x14ac:dyDescent="0.15">
      <c r="A231" s="294" t="s">
        <v>655</v>
      </c>
      <c r="B231" s="227" t="s">
        <v>426</v>
      </c>
      <c r="C231" s="167">
        <v>39</v>
      </c>
      <c r="D231" s="167" t="s">
        <v>1</v>
      </c>
      <c r="E231" s="167">
        <v>100</v>
      </c>
      <c r="F231" s="112">
        <v>25</v>
      </c>
      <c r="G231" s="118">
        <v>125</v>
      </c>
      <c r="H231" s="114">
        <v>6</v>
      </c>
      <c r="I231" s="114">
        <v>8</v>
      </c>
      <c r="J231" s="114">
        <v>14</v>
      </c>
      <c r="K231" s="114">
        <v>17.5</v>
      </c>
      <c r="L231" s="114">
        <v>7.125</v>
      </c>
      <c r="M231" s="114">
        <v>24.625</v>
      </c>
      <c r="N231" s="115">
        <v>5835.38</v>
      </c>
      <c r="O231" s="116">
        <v>149.62512820512822</v>
      </c>
    </row>
    <row r="232" spans="1:15" s="5" customFormat="1" ht="20" x14ac:dyDescent="0.15">
      <c r="A232" s="293" t="s">
        <v>383</v>
      </c>
      <c r="B232" s="228" t="s">
        <v>360</v>
      </c>
      <c r="C232" s="167"/>
      <c r="D232" s="167"/>
      <c r="E232" s="167"/>
      <c r="F232" s="112"/>
      <c r="G232" s="167"/>
      <c r="H232" s="165"/>
      <c r="I232" s="165"/>
      <c r="J232" s="165"/>
      <c r="K232" s="174"/>
      <c r="L232" s="165"/>
      <c r="M232" s="165"/>
      <c r="N232" s="165"/>
      <c r="O232" s="209"/>
    </row>
    <row r="233" spans="1:15" s="5" customFormat="1" ht="21" x14ac:dyDescent="0.25">
      <c r="A233" s="294" t="s">
        <v>455</v>
      </c>
      <c r="B233" s="180" t="s">
        <v>355</v>
      </c>
      <c r="C233" s="167">
        <v>800</v>
      </c>
      <c r="D233" s="167" t="s">
        <v>1</v>
      </c>
      <c r="E233" s="167">
        <v>39.6</v>
      </c>
      <c r="F233" s="112">
        <v>9.9</v>
      </c>
      <c r="G233" s="118">
        <v>49.5</v>
      </c>
      <c r="H233" s="114">
        <v>6</v>
      </c>
      <c r="I233" s="114">
        <v>8</v>
      </c>
      <c r="J233" s="114">
        <v>14</v>
      </c>
      <c r="K233" s="114">
        <v>6.9300000000000006</v>
      </c>
      <c r="L233" s="114">
        <v>2.8215000000000003</v>
      </c>
      <c r="M233" s="114">
        <v>9.7515000000000001</v>
      </c>
      <c r="N233" s="115">
        <v>47401.2</v>
      </c>
      <c r="O233" s="116">
        <v>59.251499999999993</v>
      </c>
    </row>
    <row r="234" spans="1:15" s="5" customFormat="1" ht="21" x14ac:dyDescent="0.25">
      <c r="A234" s="294" t="s">
        <v>456</v>
      </c>
      <c r="B234" s="180" t="s">
        <v>356</v>
      </c>
      <c r="C234" s="167">
        <v>1061</v>
      </c>
      <c r="D234" s="167" t="s">
        <v>1</v>
      </c>
      <c r="E234" s="167">
        <v>25</v>
      </c>
      <c r="F234" s="112">
        <v>6.25</v>
      </c>
      <c r="G234" s="118">
        <v>31.25</v>
      </c>
      <c r="H234" s="114">
        <v>6</v>
      </c>
      <c r="I234" s="114">
        <v>8</v>
      </c>
      <c r="J234" s="114">
        <v>14</v>
      </c>
      <c r="K234" s="114">
        <v>4.375</v>
      </c>
      <c r="L234" s="114">
        <v>1.78125</v>
      </c>
      <c r="M234" s="114">
        <v>6.15625</v>
      </c>
      <c r="N234" s="115">
        <v>39688.03</v>
      </c>
      <c r="O234" s="116">
        <v>37.406248821866164</v>
      </c>
    </row>
    <row r="235" spans="1:15" s="5" customFormat="1" ht="21" x14ac:dyDescent="0.25">
      <c r="A235" s="294" t="s">
        <v>457</v>
      </c>
      <c r="B235" s="241" t="s">
        <v>364</v>
      </c>
      <c r="C235" s="167">
        <v>8</v>
      </c>
      <c r="D235" s="167" t="s">
        <v>1</v>
      </c>
      <c r="E235" s="167">
        <v>1000</v>
      </c>
      <c r="F235" s="112">
        <v>250</v>
      </c>
      <c r="G235" s="118">
        <v>1250</v>
      </c>
      <c r="H235" s="114">
        <v>6</v>
      </c>
      <c r="I235" s="114">
        <v>8</v>
      </c>
      <c r="J235" s="114">
        <v>14</v>
      </c>
      <c r="K235" s="114">
        <v>175.00000000000003</v>
      </c>
      <c r="L235" s="114">
        <v>71.25</v>
      </c>
      <c r="M235" s="114">
        <v>246.25000000000003</v>
      </c>
      <c r="N235" s="115">
        <v>11970</v>
      </c>
      <c r="O235" s="116">
        <v>1496.25</v>
      </c>
    </row>
    <row r="236" spans="1:15" s="5" customFormat="1" ht="21" x14ac:dyDescent="0.25">
      <c r="A236" s="294" t="s">
        <v>458</v>
      </c>
      <c r="B236" s="180" t="s">
        <v>357</v>
      </c>
      <c r="C236" s="167">
        <v>150</v>
      </c>
      <c r="D236" s="167" t="s">
        <v>352</v>
      </c>
      <c r="E236" s="167">
        <v>50</v>
      </c>
      <c r="F236" s="112">
        <v>12.5</v>
      </c>
      <c r="G236" s="118">
        <v>62.5</v>
      </c>
      <c r="H236" s="114">
        <v>6</v>
      </c>
      <c r="I236" s="114">
        <v>8</v>
      </c>
      <c r="J236" s="114">
        <v>14</v>
      </c>
      <c r="K236" s="114">
        <v>8.75</v>
      </c>
      <c r="L236" s="114">
        <v>3.5625</v>
      </c>
      <c r="M236" s="114">
        <v>12.3125</v>
      </c>
      <c r="N236" s="115">
        <v>11221.88</v>
      </c>
      <c r="O236" s="116">
        <v>74.812533333333334</v>
      </c>
    </row>
    <row r="237" spans="1:15" s="5" customFormat="1" ht="21" x14ac:dyDescent="0.25">
      <c r="A237" s="294" t="s">
        <v>459</v>
      </c>
      <c r="B237" s="180" t="s">
        <v>358</v>
      </c>
      <c r="C237" s="167">
        <v>1</v>
      </c>
      <c r="D237" s="167" t="s">
        <v>5</v>
      </c>
      <c r="E237" s="167">
        <v>3000</v>
      </c>
      <c r="F237" s="112">
        <v>750</v>
      </c>
      <c r="G237" s="118">
        <v>3750</v>
      </c>
      <c r="H237" s="114">
        <v>6</v>
      </c>
      <c r="I237" s="114">
        <v>8</v>
      </c>
      <c r="J237" s="114">
        <v>14</v>
      </c>
      <c r="K237" s="114">
        <v>525</v>
      </c>
      <c r="L237" s="114">
        <v>213.75</v>
      </c>
      <c r="M237" s="114">
        <v>738.75</v>
      </c>
      <c r="N237" s="115">
        <v>4488.75</v>
      </c>
      <c r="O237" s="116">
        <v>4488.75</v>
      </c>
    </row>
    <row r="238" spans="1:15" s="5" customFormat="1" ht="21" x14ac:dyDescent="0.25">
      <c r="A238" s="294" t="s">
        <v>460</v>
      </c>
      <c r="B238" s="180" t="s">
        <v>423</v>
      </c>
      <c r="C238" s="167">
        <v>1</v>
      </c>
      <c r="D238" s="167" t="s">
        <v>5</v>
      </c>
      <c r="E238" s="167">
        <v>10000</v>
      </c>
      <c r="F238" s="112">
        <v>2500</v>
      </c>
      <c r="G238" s="118">
        <v>12500</v>
      </c>
      <c r="H238" s="114">
        <v>6</v>
      </c>
      <c r="I238" s="114">
        <v>8</v>
      </c>
      <c r="J238" s="114">
        <v>14</v>
      </c>
      <c r="K238" s="114">
        <v>1750.0000000000002</v>
      </c>
      <c r="L238" s="114">
        <v>712.5</v>
      </c>
      <c r="M238" s="114">
        <v>2462.5</v>
      </c>
      <c r="N238" s="115">
        <v>14962.5</v>
      </c>
      <c r="O238" s="116">
        <v>14962.5</v>
      </c>
    </row>
    <row r="239" spans="1:15" s="5" customFormat="1" ht="20" x14ac:dyDescent="0.15">
      <c r="A239" s="293" t="s">
        <v>384</v>
      </c>
      <c r="B239" s="228" t="s">
        <v>431</v>
      </c>
      <c r="C239" s="167"/>
      <c r="D239" s="167"/>
      <c r="E239" s="167"/>
      <c r="F239" s="112"/>
      <c r="G239" s="167"/>
      <c r="H239" s="165"/>
      <c r="I239" s="165"/>
      <c r="J239" s="165"/>
      <c r="K239" s="174"/>
      <c r="L239" s="165"/>
      <c r="M239" s="165"/>
      <c r="N239" s="165"/>
      <c r="O239" s="209"/>
    </row>
    <row r="240" spans="1:15" s="5" customFormat="1" ht="21" x14ac:dyDescent="0.25">
      <c r="A240" s="294" t="s">
        <v>461</v>
      </c>
      <c r="B240" s="180" t="s">
        <v>424</v>
      </c>
      <c r="C240" s="167">
        <v>14975</v>
      </c>
      <c r="D240" s="167" t="s">
        <v>98</v>
      </c>
      <c r="E240" s="167">
        <v>25</v>
      </c>
      <c r="F240" s="112">
        <v>6.25</v>
      </c>
      <c r="G240" s="118">
        <v>31.25</v>
      </c>
      <c r="H240" s="114">
        <v>6</v>
      </c>
      <c r="I240" s="114">
        <v>8</v>
      </c>
      <c r="J240" s="114">
        <v>14</v>
      </c>
      <c r="K240" s="114">
        <v>4.375</v>
      </c>
      <c r="L240" s="114">
        <v>1.78125</v>
      </c>
      <c r="M240" s="114">
        <v>6.15625</v>
      </c>
      <c r="N240" s="115">
        <v>560158.59</v>
      </c>
      <c r="O240" s="116">
        <v>37.406249749582635</v>
      </c>
    </row>
    <row r="241" spans="1:15" s="5" customFormat="1" ht="19" x14ac:dyDescent="0.25">
      <c r="A241" s="210"/>
      <c r="B241" s="177"/>
      <c r="C241" s="167"/>
      <c r="D241" s="167"/>
      <c r="E241" s="167"/>
      <c r="F241" s="167"/>
      <c r="G241" s="167"/>
      <c r="H241" s="165"/>
      <c r="I241" s="165"/>
      <c r="J241" s="165"/>
      <c r="K241" s="174"/>
      <c r="L241" s="165"/>
      <c r="M241" s="191" t="s">
        <v>343</v>
      </c>
      <c r="N241" s="184">
        <v>2302464.1699999995</v>
      </c>
      <c r="O241" s="209"/>
    </row>
    <row r="242" spans="1:15" s="5" customFormat="1" ht="20" x14ac:dyDescent="0.15">
      <c r="A242" s="198">
        <v>9.3999999999999986</v>
      </c>
      <c r="B242" s="229" t="s">
        <v>861</v>
      </c>
      <c r="C242" s="167"/>
      <c r="D242" s="167"/>
      <c r="E242" s="167"/>
      <c r="F242" s="167"/>
      <c r="G242" s="167"/>
      <c r="H242" s="165"/>
      <c r="I242" s="165"/>
      <c r="J242" s="165"/>
      <c r="K242" s="174"/>
      <c r="L242" s="165"/>
      <c r="M242" s="212"/>
      <c r="N242" s="187"/>
      <c r="O242" s="209"/>
    </row>
    <row r="243" spans="1:15" s="5" customFormat="1" ht="20" x14ac:dyDescent="0.15">
      <c r="A243" s="293" t="s">
        <v>379</v>
      </c>
      <c r="B243" s="154" t="s">
        <v>359</v>
      </c>
      <c r="C243" s="167"/>
      <c r="D243" s="167"/>
      <c r="E243" s="167"/>
      <c r="F243" s="167"/>
      <c r="G243" s="167"/>
      <c r="H243" s="165"/>
      <c r="I243" s="165"/>
      <c r="J243" s="165"/>
      <c r="K243" s="174"/>
      <c r="L243" s="165"/>
      <c r="M243" s="212"/>
      <c r="N243" s="187"/>
      <c r="O243" s="209"/>
    </row>
    <row r="244" spans="1:15" s="5" customFormat="1" ht="21" x14ac:dyDescent="0.15">
      <c r="A244" s="294" t="s">
        <v>462</v>
      </c>
      <c r="B244" s="227" t="s">
        <v>394</v>
      </c>
      <c r="C244" s="167">
        <v>78</v>
      </c>
      <c r="D244" s="167" t="s">
        <v>1</v>
      </c>
      <c r="E244" s="167">
        <v>300</v>
      </c>
      <c r="F244" s="112">
        <v>75</v>
      </c>
      <c r="G244" s="118">
        <v>375</v>
      </c>
      <c r="H244" s="114">
        <v>6</v>
      </c>
      <c r="I244" s="114">
        <v>8</v>
      </c>
      <c r="J244" s="114">
        <v>14</v>
      </c>
      <c r="K244" s="114">
        <v>52.500000000000007</v>
      </c>
      <c r="L244" s="114">
        <v>21.375</v>
      </c>
      <c r="M244" s="114">
        <v>73.875</v>
      </c>
      <c r="N244" s="115">
        <v>35012.25</v>
      </c>
      <c r="O244" s="116">
        <v>448.875</v>
      </c>
    </row>
    <row r="245" spans="1:15" s="5" customFormat="1" ht="20" x14ac:dyDescent="0.15">
      <c r="A245" s="293" t="s">
        <v>396</v>
      </c>
      <c r="B245" s="228" t="s">
        <v>360</v>
      </c>
      <c r="C245" s="167"/>
      <c r="D245" s="167"/>
      <c r="E245" s="167"/>
      <c r="F245" s="112"/>
      <c r="G245" s="172"/>
      <c r="H245" s="172"/>
      <c r="I245" s="172"/>
      <c r="J245" s="172"/>
      <c r="K245" s="172"/>
      <c r="L245" s="172"/>
      <c r="M245" s="172"/>
      <c r="N245" s="173"/>
      <c r="O245" s="208"/>
    </row>
    <row r="246" spans="1:15" s="5" customFormat="1" ht="21" x14ac:dyDescent="0.25">
      <c r="A246" s="294" t="s">
        <v>463</v>
      </c>
      <c r="B246" s="180" t="s">
        <v>355</v>
      </c>
      <c r="C246" s="167">
        <v>200</v>
      </c>
      <c r="D246" s="167" t="s">
        <v>1</v>
      </c>
      <c r="E246" s="167">
        <v>39.6</v>
      </c>
      <c r="F246" s="112">
        <v>9.9</v>
      </c>
      <c r="G246" s="118">
        <v>49.5</v>
      </c>
      <c r="H246" s="114">
        <v>6</v>
      </c>
      <c r="I246" s="114">
        <v>8</v>
      </c>
      <c r="J246" s="114">
        <v>14</v>
      </c>
      <c r="K246" s="114">
        <v>6.9300000000000006</v>
      </c>
      <c r="L246" s="114">
        <v>2.8215000000000003</v>
      </c>
      <c r="M246" s="114">
        <v>9.7515000000000001</v>
      </c>
      <c r="N246" s="115">
        <v>11850.3</v>
      </c>
      <c r="O246" s="116">
        <v>59.251499999999993</v>
      </c>
    </row>
    <row r="247" spans="1:15" s="5" customFormat="1" ht="21" x14ac:dyDescent="0.25">
      <c r="A247" s="294" t="s">
        <v>464</v>
      </c>
      <c r="B247" s="180" t="s">
        <v>358</v>
      </c>
      <c r="C247" s="167">
        <v>1</v>
      </c>
      <c r="D247" s="167" t="s">
        <v>5</v>
      </c>
      <c r="E247" s="167">
        <v>5000</v>
      </c>
      <c r="F247" s="112">
        <v>1250</v>
      </c>
      <c r="G247" s="118">
        <v>6250</v>
      </c>
      <c r="H247" s="114">
        <v>6</v>
      </c>
      <c r="I247" s="114">
        <v>8</v>
      </c>
      <c r="J247" s="114">
        <v>14</v>
      </c>
      <c r="K247" s="114">
        <v>875.00000000000011</v>
      </c>
      <c r="L247" s="114">
        <v>356.25</v>
      </c>
      <c r="M247" s="114">
        <v>1231.25</v>
      </c>
      <c r="N247" s="115">
        <v>7481.25</v>
      </c>
      <c r="O247" s="116">
        <v>7481.25</v>
      </c>
    </row>
    <row r="248" spans="1:15" s="5" customFormat="1" ht="21" x14ac:dyDescent="0.25">
      <c r="A248" s="294" t="s">
        <v>694</v>
      </c>
      <c r="B248" s="180" t="s">
        <v>423</v>
      </c>
      <c r="C248" s="167">
        <v>1</v>
      </c>
      <c r="D248" s="167" t="s">
        <v>5</v>
      </c>
      <c r="E248" s="167">
        <v>10000</v>
      </c>
      <c r="F248" s="112">
        <v>2500</v>
      </c>
      <c r="G248" s="118">
        <v>12500</v>
      </c>
      <c r="H248" s="114">
        <v>6</v>
      </c>
      <c r="I248" s="114">
        <v>8</v>
      </c>
      <c r="J248" s="114">
        <v>14</v>
      </c>
      <c r="K248" s="114">
        <v>1750.0000000000002</v>
      </c>
      <c r="L248" s="114">
        <v>712.5</v>
      </c>
      <c r="M248" s="114">
        <v>2462.5</v>
      </c>
      <c r="N248" s="115">
        <v>14962.5</v>
      </c>
      <c r="O248" s="116">
        <v>14962.5</v>
      </c>
    </row>
    <row r="249" spans="1:15" s="5" customFormat="1" ht="20" x14ac:dyDescent="0.15">
      <c r="A249" s="293" t="s">
        <v>397</v>
      </c>
      <c r="B249" s="228" t="s">
        <v>431</v>
      </c>
      <c r="C249" s="167"/>
      <c r="D249" s="167"/>
      <c r="E249" s="167"/>
      <c r="F249" s="112"/>
      <c r="G249" s="167"/>
      <c r="H249" s="172"/>
      <c r="I249" s="172"/>
      <c r="J249" s="172"/>
      <c r="K249" s="172"/>
      <c r="L249" s="172"/>
      <c r="M249" s="172"/>
      <c r="N249" s="173"/>
      <c r="O249" s="208"/>
    </row>
    <row r="250" spans="1:15" s="5" customFormat="1" ht="21" x14ac:dyDescent="0.25">
      <c r="A250" s="294" t="s">
        <v>465</v>
      </c>
      <c r="B250" s="180" t="s">
        <v>393</v>
      </c>
      <c r="C250" s="167">
        <v>40</v>
      </c>
      <c r="D250" s="167" t="s">
        <v>1</v>
      </c>
      <c r="E250" s="167">
        <v>10000</v>
      </c>
      <c r="F250" s="112">
        <v>2500</v>
      </c>
      <c r="G250" s="118">
        <v>12500</v>
      </c>
      <c r="H250" s="114">
        <v>6</v>
      </c>
      <c r="I250" s="114">
        <v>8</v>
      </c>
      <c r="J250" s="114">
        <v>14</v>
      </c>
      <c r="K250" s="114">
        <v>1750.0000000000002</v>
      </c>
      <c r="L250" s="114">
        <v>712.5</v>
      </c>
      <c r="M250" s="114">
        <v>2462.5</v>
      </c>
      <c r="N250" s="115">
        <v>598500</v>
      </c>
      <c r="O250" s="116">
        <v>14962.5</v>
      </c>
    </row>
    <row r="251" spans="1:15" s="5" customFormat="1" ht="18.75" customHeight="1" x14ac:dyDescent="0.25">
      <c r="A251" s="210"/>
      <c r="B251" s="177"/>
      <c r="C251" s="167"/>
      <c r="D251" s="167"/>
      <c r="E251" s="167"/>
      <c r="F251" s="112"/>
      <c r="G251" s="167"/>
      <c r="H251" s="165"/>
      <c r="I251" s="165"/>
      <c r="J251" s="165"/>
      <c r="K251" s="174"/>
      <c r="L251" s="165"/>
      <c r="M251" s="191" t="s">
        <v>343</v>
      </c>
      <c r="N251" s="184">
        <v>667806.30000000005</v>
      </c>
      <c r="O251" s="209"/>
    </row>
    <row r="252" spans="1:15" s="5" customFormat="1" ht="20" x14ac:dyDescent="0.15">
      <c r="A252" s="198">
        <v>9.4999999999999982</v>
      </c>
      <c r="B252" s="229" t="s">
        <v>372</v>
      </c>
      <c r="C252" s="167"/>
      <c r="D252" s="167"/>
      <c r="E252" s="167"/>
      <c r="F252" s="112"/>
      <c r="G252" s="167"/>
      <c r="H252" s="165"/>
      <c r="I252" s="165"/>
      <c r="J252" s="165"/>
      <c r="K252" s="174"/>
      <c r="L252" s="165"/>
      <c r="M252" s="212"/>
      <c r="N252" s="187"/>
      <c r="O252" s="209"/>
    </row>
    <row r="253" spans="1:15" s="5" customFormat="1" ht="20" x14ac:dyDescent="0.15">
      <c r="A253" s="293" t="s">
        <v>385</v>
      </c>
      <c r="B253" s="154" t="s">
        <v>359</v>
      </c>
      <c r="C253" s="167"/>
      <c r="D253" s="167"/>
      <c r="E253" s="167"/>
      <c r="F253" s="112"/>
      <c r="G253" s="167"/>
      <c r="H253" s="165"/>
      <c r="I253" s="165"/>
      <c r="J253" s="165"/>
      <c r="K253" s="174"/>
      <c r="L253" s="165"/>
      <c r="M253" s="212"/>
      <c r="N253" s="187"/>
      <c r="O253" s="209"/>
    </row>
    <row r="254" spans="1:15" s="5" customFormat="1" ht="21" x14ac:dyDescent="0.15">
      <c r="A254" s="294" t="s">
        <v>696</v>
      </c>
      <c r="B254" s="289" t="s">
        <v>728</v>
      </c>
      <c r="C254" s="181">
        <v>1</v>
      </c>
      <c r="D254" s="181" t="s">
        <v>1</v>
      </c>
      <c r="E254" s="181">
        <v>30000</v>
      </c>
      <c r="F254" s="112">
        <v>2000</v>
      </c>
      <c r="G254" s="118">
        <v>32000</v>
      </c>
      <c r="H254" s="114">
        <v>6</v>
      </c>
      <c r="I254" s="114">
        <v>8</v>
      </c>
      <c r="J254" s="114">
        <v>14</v>
      </c>
      <c r="K254" s="114">
        <v>4480</v>
      </c>
      <c r="L254" s="114">
        <v>1824</v>
      </c>
      <c r="M254" s="114">
        <v>6304</v>
      </c>
      <c r="N254" s="115">
        <v>38304</v>
      </c>
      <c r="O254" s="116">
        <v>38304</v>
      </c>
    </row>
    <row r="255" spans="1:15" s="170" customFormat="1" ht="18.75" customHeight="1" x14ac:dyDescent="0.15">
      <c r="A255" s="294" t="s">
        <v>697</v>
      </c>
      <c r="B255" s="288" t="s">
        <v>729</v>
      </c>
      <c r="C255" s="181">
        <v>3</v>
      </c>
      <c r="D255" s="181" t="s">
        <v>1</v>
      </c>
      <c r="E255" s="181">
        <v>15000</v>
      </c>
      <c r="F255" s="112">
        <v>2000</v>
      </c>
      <c r="G255" s="118">
        <v>17000</v>
      </c>
      <c r="H255" s="114">
        <v>6</v>
      </c>
      <c r="I255" s="114">
        <v>8</v>
      </c>
      <c r="J255" s="114">
        <v>14</v>
      </c>
      <c r="K255" s="114">
        <v>2380</v>
      </c>
      <c r="L255" s="114">
        <v>969</v>
      </c>
      <c r="M255" s="114">
        <v>3349</v>
      </c>
      <c r="N255" s="115">
        <v>61047</v>
      </c>
      <c r="O255" s="116">
        <v>20349</v>
      </c>
    </row>
    <row r="256" spans="1:15" s="170" customFormat="1" ht="18.75" customHeight="1" x14ac:dyDescent="0.15">
      <c r="A256" s="294" t="s">
        <v>698</v>
      </c>
      <c r="B256" s="288" t="s">
        <v>594</v>
      </c>
      <c r="C256" s="181">
        <v>4</v>
      </c>
      <c r="D256" s="181" t="s">
        <v>1</v>
      </c>
      <c r="E256" s="181">
        <v>7500</v>
      </c>
      <c r="F256" s="112">
        <v>1500</v>
      </c>
      <c r="G256" s="118">
        <v>9000</v>
      </c>
      <c r="H256" s="114">
        <v>6</v>
      </c>
      <c r="I256" s="114">
        <v>8</v>
      </c>
      <c r="J256" s="114">
        <v>14</v>
      </c>
      <c r="K256" s="114">
        <v>1260.0000000000002</v>
      </c>
      <c r="L256" s="114">
        <v>513</v>
      </c>
      <c r="M256" s="114">
        <v>1773.0000000000002</v>
      </c>
      <c r="N256" s="115">
        <v>43092</v>
      </c>
      <c r="O256" s="116">
        <v>10773</v>
      </c>
    </row>
    <row r="257" spans="1:20" s="5" customFormat="1" ht="21" x14ac:dyDescent="0.15">
      <c r="A257" s="294" t="s">
        <v>699</v>
      </c>
      <c r="B257" s="227" t="s">
        <v>653</v>
      </c>
      <c r="C257" s="167">
        <v>86</v>
      </c>
      <c r="D257" s="167" t="s">
        <v>1</v>
      </c>
      <c r="E257" s="167">
        <v>2500</v>
      </c>
      <c r="F257" s="112">
        <v>625</v>
      </c>
      <c r="G257" s="118">
        <v>3125</v>
      </c>
      <c r="H257" s="114">
        <v>6</v>
      </c>
      <c r="I257" s="114">
        <v>8</v>
      </c>
      <c r="J257" s="114">
        <v>14</v>
      </c>
      <c r="K257" s="114">
        <v>437.50000000000006</v>
      </c>
      <c r="L257" s="114">
        <v>178.125</v>
      </c>
      <c r="M257" s="114">
        <v>615.625</v>
      </c>
      <c r="N257" s="115">
        <v>321693.75</v>
      </c>
      <c r="O257" s="116">
        <v>3740.625</v>
      </c>
    </row>
    <row r="258" spans="1:20" s="5" customFormat="1" ht="21" x14ac:dyDescent="0.15">
      <c r="A258" s="294" t="s">
        <v>730</v>
      </c>
      <c r="B258" s="227" t="s">
        <v>654</v>
      </c>
      <c r="C258" s="167">
        <v>8</v>
      </c>
      <c r="D258" s="167" t="s">
        <v>1</v>
      </c>
      <c r="E258" s="167">
        <v>2500</v>
      </c>
      <c r="F258" s="112">
        <v>625</v>
      </c>
      <c r="G258" s="118">
        <v>3125</v>
      </c>
      <c r="H258" s="114">
        <v>6</v>
      </c>
      <c r="I258" s="114">
        <v>8</v>
      </c>
      <c r="J258" s="114">
        <v>14</v>
      </c>
      <c r="K258" s="114">
        <v>437.50000000000006</v>
      </c>
      <c r="L258" s="114">
        <v>178.125</v>
      </c>
      <c r="M258" s="114">
        <v>615.625</v>
      </c>
      <c r="N258" s="115">
        <v>29925</v>
      </c>
      <c r="O258" s="116">
        <v>3740.625</v>
      </c>
    </row>
    <row r="259" spans="1:20" s="5" customFormat="1" ht="20" x14ac:dyDescent="0.15">
      <c r="A259" s="293" t="s">
        <v>466</v>
      </c>
      <c r="B259" s="228" t="s">
        <v>360</v>
      </c>
      <c r="C259" s="167"/>
      <c r="D259" s="167"/>
      <c r="E259" s="167"/>
      <c r="F259" s="112"/>
      <c r="G259" s="172"/>
      <c r="H259" s="172"/>
      <c r="I259" s="172"/>
      <c r="J259" s="172"/>
      <c r="K259" s="172"/>
      <c r="L259" s="172"/>
      <c r="M259" s="172"/>
      <c r="N259" s="173"/>
      <c r="O259" s="208"/>
    </row>
    <row r="260" spans="1:20" s="321" customFormat="1" ht="20" x14ac:dyDescent="0.25">
      <c r="A260" s="294" t="s">
        <v>468</v>
      </c>
      <c r="B260" s="241" t="s">
        <v>738</v>
      </c>
      <c r="C260" s="167">
        <v>1600</v>
      </c>
      <c r="D260" s="167" t="s">
        <v>98</v>
      </c>
      <c r="E260" s="167">
        <v>85</v>
      </c>
      <c r="F260" s="112">
        <v>21.25</v>
      </c>
      <c r="G260" s="159">
        <v>106.25</v>
      </c>
      <c r="H260" s="159">
        <v>6</v>
      </c>
      <c r="I260" s="161">
        <v>8</v>
      </c>
      <c r="J260" s="159">
        <v>14</v>
      </c>
      <c r="K260" s="159">
        <v>14.875000000000002</v>
      </c>
      <c r="L260" s="159">
        <v>6.0562500000000004</v>
      </c>
      <c r="M260" s="159">
        <v>20.931250000000002</v>
      </c>
      <c r="N260" s="161">
        <v>203490</v>
      </c>
      <c r="O260" s="162">
        <v>127.18125000000001</v>
      </c>
      <c r="P260" s="313"/>
      <c r="Q260" s="313"/>
      <c r="T260" s="158"/>
    </row>
    <row r="261" spans="1:20" s="5" customFormat="1" ht="21" x14ac:dyDescent="0.25">
      <c r="A261" s="294" t="s">
        <v>469</v>
      </c>
      <c r="B261" s="180" t="s">
        <v>358</v>
      </c>
      <c r="C261" s="167">
        <v>1</v>
      </c>
      <c r="D261" s="167" t="s">
        <v>5</v>
      </c>
      <c r="E261" s="167">
        <v>3000</v>
      </c>
      <c r="F261" s="112">
        <v>750</v>
      </c>
      <c r="G261" s="118">
        <v>3750</v>
      </c>
      <c r="H261" s="114">
        <v>6</v>
      </c>
      <c r="I261" s="114">
        <v>8</v>
      </c>
      <c r="J261" s="114">
        <v>14</v>
      </c>
      <c r="K261" s="114">
        <v>525</v>
      </c>
      <c r="L261" s="114">
        <v>213.75</v>
      </c>
      <c r="M261" s="114">
        <v>738.75</v>
      </c>
      <c r="N261" s="115">
        <v>4488.75</v>
      </c>
      <c r="O261" s="116">
        <v>4488.75</v>
      </c>
    </row>
    <row r="262" spans="1:20" s="5" customFormat="1" ht="21" x14ac:dyDescent="0.25">
      <c r="A262" s="294" t="s">
        <v>739</v>
      </c>
      <c r="B262" s="241" t="s">
        <v>845</v>
      </c>
      <c r="C262" s="167">
        <v>1</v>
      </c>
      <c r="D262" s="167" t="s">
        <v>5</v>
      </c>
      <c r="E262" s="167">
        <v>5000</v>
      </c>
      <c r="F262" s="112">
        <v>1250</v>
      </c>
      <c r="G262" s="118">
        <v>6250</v>
      </c>
      <c r="H262" s="114">
        <v>6</v>
      </c>
      <c r="I262" s="114">
        <v>8</v>
      </c>
      <c r="J262" s="114">
        <v>14</v>
      </c>
      <c r="K262" s="114">
        <v>875.00000000000011</v>
      </c>
      <c r="L262" s="114">
        <v>356.25</v>
      </c>
      <c r="M262" s="114">
        <v>1231.25</v>
      </c>
      <c r="N262" s="115">
        <v>7481.25</v>
      </c>
      <c r="O262" s="116">
        <v>7481.25</v>
      </c>
    </row>
    <row r="263" spans="1:20" s="5" customFormat="1" ht="20" x14ac:dyDescent="0.15">
      <c r="A263" s="293" t="s">
        <v>467</v>
      </c>
      <c r="B263" s="228" t="s">
        <v>431</v>
      </c>
      <c r="C263" s="167"/>
      <c r="D263" s="167"/>
      <c r="E263" s="167"/>
      <c r="F263" s="112"/>
      <c r="G263" s="167"/>
      <c r="H263" s="172"/>
      <c r="I263" s="172"/>
      <c r="J263" s="172"/>
      <c r="K263" s="172"/>
      <c r="L263" s="172"/>
      <c r="M263" s="172"/>
      <c r="N263" s="173"/>
      <c r="O263" s="208"/>
    </row>
    <row r="264" spans="1:20" s="5" customFormat="1" ht="21" x14ac:dyDescent="0.25">
      <c r="A264" s="294" t="s">
        <v>470</v>
      </c>
      <c r="B264" s="180" t="s">
        <v>366</v>
      </c>
      <c r="C264" s="167">
        <v>1700</v>
      </c>
      <c r="D264" s="167" t="s">
        <v>98</v>
      </c>
      <c r="E264" s="167">
        <v>26</v>
      </c>
      <c r="F264" s="112">
        <v>6.5</v>
      </c>
      <c r="G264" s="118">
        <v>32.5</v>
      </c>
      <c r="H264" s="114">
        <v>6</v>
      </c>
      <c r="I264" s="114">
        <v>8</v>
      </c>
      <c r="J264" s="114">
        <v>14</v>
      </c>
      <c r="K264" s="114">
        <v>4.5500000000000007</v>
      </c>
      <c r="L264" s="114">
        <v>1.8525</v>
      </c>
      <c r="M264" s="114">
        <v>6.4025000000000007</v>
      </c>
      <c r="N264" s="115">
        <v>66134.25</v>
      </c>
      <c r="O264" s="116">
        <v>38.902500000000003</v>
      </c>
    </row>
    <row r="265" spans="1:20" s="5" customFormat="1" ht="19" x14ac:dyDescent="0.25">
      <c r="A265" s="210"/>
      <c r="B265" s="177"/>
      <c r="C265" s="167"/>
      <c r="D265" s="167"/>
      <c r="E265" s="167"/>
      <c r="F265" s="167"/>
      <c r="G265" s="167"/>
      <c r="H265" s="165"/>
      <c r="I265" s="165"/>
      <c r="J265" s="165"/>
      <c r="K265" s="174"/>
      <c r="L265" s="165"/>
      <c r="M265" s="191" t="s">
        <v>343</v>
      </c>
      <c r="N265" s="184">
        <v>775656</v>
      </c>
      <c r="O265" s="209"/>
    </row>
    <row r="266" spans="1:20" s="5" customFormat="1" ht="20" x14ac:dyDescent="0.15">
      <c r="A266" s="198">
        <v>9.5999999999999979</v>
      </c>
      <c r="B266" s="229" t="s">
        <v>473</v>
      </c>
      <c r="C266" s="167"/>
      <c r="D266" s="233"/>
      <c r="E266" s="237"/>
      <c r="F266" s="237"/>
      <c r="G266" s="232"/>
      <c r="H266" s="236"/>
      <c r="I266" s="236"/>
      <c r="J266" s="236"/>
      <c r="K266" s="236"/>
      <c r="L266" s="236"/>
      <c r="M266" s="236"/>
      <c r="N266" s="238"/>
      <c r="O266" s="303"/>
    </row>
    <row r="267" spans="1:20" s="5" customFormat="1" ht="18.75" customHeight="1" x14ac:dyDescent="0.15">
      <c r="A267" s="293" t="s">
        <v>386</v>
      </c>
      <c r="B267" s="154" t="s">
        <v>369</v>
      </c>
      <c r="C267" s="167"/>
      <c r="D267" s="233"/>
      <c r="E267" s="237"/>
      <c r="F267" s="237"/>
      <c r="G267" s="232"/>
      <c r="H267" s="236"/>
      <c r="I267" s="236"/>
      <c r="J267" s="236"/>
      <c r="K267" s="236"/>
      <c r="L267" s="236"/>
      <c r="M267" s="236"/>
      <c r="N267" s="235"/>
      <c r="O267" s="303"/>
    </row>
    <row r="268" spans="1:20" s="5" customFormat="1" ht="21" x14ac:dyDescent="0.25">
      <c r="A268" s="294" t="s">
        <v>399</v>
      </c>
      <c r="B268" s="239" t="s">
        <v>844</v>
      </c>
      <c r="C268" s="167">
        <v>1</v>
      </c>
      <c r="D268" s="167" t="s">
        <v>1</v>
      </c>
      <c r="E268" s="167">
        <v>50000</v>
      </c>
      <c r="F268" s="167">
        <v>350</v>
      </c>
      <c r="G268" s="118">
        <v>50350</v>
      </c>
      <c r="H268" s="114">
        <v>6</v>
      </c>
      <c r="I268" s="114">
        <v>8</v>
      </c>
      <c r="J268" s="114">
        <v>14</v>
      </c>
      <c r="K268" s="114">
        <v>7049.0000000000009</v>
      </c>
      <c r="L268" s="114">
        <v>2869.9500000000003</v>
      </c>
      <c r="M268" s="114">
        <v>9918.9500000000007</v>
      </c>
      <c r="N268" s="115">
        <v>60268.95</v>
      </c>
      <c r="O268" s="116">
        <v>60268.95</v>
      </c>
    </row>
    <row r="269" spans="1:20" s="5" customFormat="1" ht="21" x14ac:dyDescent="0.15">
      <c r="A269" s="294" t="s">
        <v>400</v>
      </c>
      <c r="B269" s="240" t="s">
        <v>368</v>
      </c>
      <c r="C269" s="167">
        <v>119</v>
      </c>
      <c r="D269" s="167" t="s">
        <v>1</v>
      </c>
      <c r="E269" s="167">
        <v>1800</v>
      </c>
      <c r="F269" s="167">
        <v>100</v>
      </c>
      <c r="G269" s="118">
        <v>1900</v>
      </c>
      <c r="H269" s="114">
        <v>6</v>
      </c>
      <c r="I269" s="114">
        <v>8</v>
      </c>
      <c r="J269" s="114">
        <v>14</v>
      </c>
      <c r="K269" s="114">
        <v>266</v>
      </c>
      <c r="L269" s="114">
        <v>108.30000000000001</v>
      </c>
      <c r="M269" s="114">
        <v>374.3</v>
      </c>
      <c r="N269" s="115">
        <v>270641.7</v>
      </c>
      <c r="O269" s="116">
        <v>2274.3000000000002</v>
      </c>
    </row>
    <row r="270" spans="1:20" s="5" customFormat="1" ht="21" x14ac:dyDescent="0.15">
      <c r="A270" s="294" t="s">
        <v>401</v>
      </c>
      <c r="B270" s="240" t="s">
        <v>472</v>
      </c>
      <c r="C270" s="167">
        <v>2</v>
      </c>
      <c r="D270" s="167" t="s">
        <v>1</v>
      </c>
      <c r="E270" s="167">
        <v>2500</v>
      </c>
      <c r="F270" s="167">
        <v>100</v>
      </c>
      <c r="G270" s="118">
        <v>2600</v>
      </c>
      <c r="H270" s="114">
        <v>6</v>
      </c>
      <c r="I270" s="114">
        <v>8</v>
      </c>
      <c r="J270" s="114">
        <v>14</v>
      </c>
      <c r="K270" s="114">
        <v>364.00000000000006</v>
      </c>
      <c r="L270" s="114">
        <v>148.20000000000002</v>
      </c>
      <c r="M270" s="114">
        <v>512.20000000000005</v>
      </c>
      <c r="N270" s="115">
        <v>6224.4</v>
      </c>
      <c r="O270" s="116">
        <v>3112.2</v>
      </c>
    </row>
    <row r="271" spans="1:20" s="5" customFormat="1" ht="21" x14ac:dyDescent="0.15">
      <c r="A271" s="294" t="s">
        <v>402</v>
      </c>
      <c r="B271" s="240" t="s">
        <v>856</v>
      </c>
      <c r="C271" s="167">
        <v>20</v>
      </c>
      <c r="D271" s="167" t="s">
        <v>1</v>
      </c>
      <c r="E271" s="167">
        <v>4000</v>
      </c>
      <c r="F271" s="167">
        <v>300</v>
      </c>
      <c r="G271" s="118">
        <v>4300</v>
      </c>
      <c r="H271" s="114">
        <v>6</v>
      </c>
      <c r="I271" s="114">
        <v>8</v>
      </c>
      <c r="J271" s="114">
        <v>14</v>
      </c>
      <c r="K271" s="114">
        <v>602.00000000000011</v>
      </c>
      <c r="L271" s="114">
        <v>245.10000000000002</v>
      </c>
      <c r="M271" s="114">
        <v>847.10000000000014</v>
      </c>
      <c r="N271" s="115">
        <v>102942</v>
      </c>
      <c r="O271" s="116">
        <v>5147.1000000000004</v>
      </c>
    </row>
    <row r="272" spans="1:20" s="5" customFormat="1" ht="20" x14ac:dyDescent="0.15">
      <c r="A272" s="293" t="s">
        <v>474</v>
      </c>
      <c r="B272" s="228" t="s">
        <v>360</v>
      </c>
      <c r="C272" s="167"/>
      <c r="D272" s="167"/>
      <c r="E272" s="167"/>
      <c r="F272" s="167"/>
      <c r="G272" s="167"/>
      <c r="H272" s="165"/>
      <c r="I272" s="165"/>
      <c r="J272" s="165"/>
      <c r="K272" s="174"/>
      <c r="L272" s="165"/>
      <c r="M272" s="165"/>
      <c r="N272" s="165"/>
      <c r="O272" s="209"/>
    </row>
    <row r="273" spans="1:20" s="321" customFormat="1" ht="20" x14ac:dyDescent="0.25">
      <c r="A273" s="294" t="s">
        <v>475</v>
      </c>
      <c r="B273" s="241" t="s">
        <v>738</v>
      </c>
      <c r="C273" s="167">
        <v>90</v>
      </c>
      <c r="D273" s="167" t="s">
        <v>98</v>
      </c>
      <c r="E273" s="167">
        <v>85</v>
      </c>
      <c r="F273" s="112">
        <v>21.25</v>
      </c>
      <c r="G273" s="159">
        <v>106.25</v>
      </c>
      <c r="H273" s="159">
        <v>6</v>
      </c>
      <c r="I273" s="161">
        <v>8</v>
      </c>
      <c r="J273" s="159">
        <v>14</v>
      </c>
      <c r="K273" s="159">
        <v>14.875000000000002</v>
      </c>
      <c r="L273" s="159">
        <v>6.0562500000000004</v>
      </c>
      <c r="M273" s="159">
        <v>20.931250000000002</v>
      </c>
      <c r="N273" s="161">
        <v>11446.3125</v>
      </c>
      <c r="O273" s="162">
        <v>127.18125000000001</v>
      </c>
      <c r="P273" s="313"/>
      <c r="Q273" s="313"/>
      <c r="T273" s="158"/>
    </row>
    <row r="274" spans="1:20" s="5" customFormat="1" ht="21" x14ac:dyDescent="0.25">
      <c r="A274" s="294" t="s">
        <v>476</v>
      </c>
      <c r="B274" s="241" t="s">
        <v>471</v>
      </c>
      <c r="C274" s="167">
        <v>2250</v>
      </c>
      <c r="D274" s="167" t="s">
        <v>98</v>
      </c>
      <c r="E274" s="167">
        <v>35</v>
      </c>
      <c r="F274" s="167">
        <v>10</v>
      </c>
      <c r="G274" s="118">
        <v>45</v>
      </c>
      <c r="H274" s="114">
        <v>6</v>
      </c>
      <c r="I274" s="114">
        <v>8</v>
      </c>
      <c r="J274" s="114">
        <v>14</v>
      </c>
      <c r="K274" s="114">
        <v>6.3000000000000007</v>
      </c>
      <c r="L274" s="114">
        <v>2.5649999999999999</v>
      </c>
      <c r="M274" s="114">
        <v>8.8650000000000002</v>
      </c>
      <c r="N274" s="115">
        <v>121196.25</v>
      </c>
      <c r="O274" s="116">
        <v>53.865000000000002</v>
      </c>
    </row>
    <row r="275" spans="1:20" s="5" customFormat="1" ht="21" x14ac:dyDescent="0.25">
      <c r="A275" s="294" t="s">
        <v>477</v>
      </c>
      <c r="B275" s="241" t="s">
        <v>355</v>
      </c>
      <c r="C275" s="167">
        <v>150</v>
      </c>
      <c r="D275" s="167" t="s">
        <v>1</v>
      </c>
      <c r="E275" s="167">
        <v>39.6</v>
      </c>
      <c r="F275" s="167">
        <v>10</v>
      </c>
      <c r="G275" s="118">
        <v>49.6</v>
      </c>
      <c r="H275" s="114">
        <v>6</v>
      </c>
      <c r="I275" s="114">
        <v>8</v>
      </c>
      <c r="J275" s="114">
        <v>14</v>
      </c>
      <c r="K275" s="114">
        <v>6.9440000000000008</v>
      </c>
      <c r="L275" s="114">
        <v>2.8272000000000004</v>
      </c>
      <c r="M275" s="114">
        <v>9.7712000000000003</v>
      </c>
      <c r="N275" s="115">
        <v>8905.68</v>
      </c>
      <c r="O275" s="116">
        <v>59.371200000000002</v>
      </c>
    </row>
    <row r="276" spans="1:20" s="5" customFormat="1" ht="21" x14ac:dyDescent="0.25">
      <c r="A276" s="294" t="s">
        <v>478</v>
      </c>
      <c r="B276" s="241" t="s">
        <v>357</v>
      </c>
      <c r="C276" s="167">
        <v>50</v>
      </c>
      <c r="D276" s="167" t="s">
        <v>352</v>
      </c>
      <c r="E276" s="167">
        <v>50</v>
      </c>
      <c r="F276" s="167">
        <v>10</v>
      </c>
      <c r="G276" s="118">
        <v>60</v>
      </c>
      <c r="H276" s="114">
        <v>6</v>
      </c>
      <c r="I276" s="114">
        <v>8</v>
      </c>
      <c r="J276" s="114">
        <v>14</v>
      </c>
      <c r="K276" s="114">
        <v>8.4</v>
      </c>
      <c r="L276" s="114">
        <v>3.4200000000000004</v>
      </c>
      <c r="M276" s="114">
        <v>11.82</v>
      </c>
      <c r="N276" s="115">
        <v>3591</v>
      </c>
      <c r="O276" s="116">
        <v>71.819999999999993</v>
      </c>
    </row>
    <row r="277" spans="1:20" s="5" customFormat="1" ht="21" x14ac:dyDescent="0.25">
      <c r="A277" s="294" t="s">
        <v>479</v>
      </c>
      <c r="B277" s="241" t="s">
        <v>358</v>
      </c>
      <c r="C277" s="167">
        <v>5</v>
      </c>
      <c r="D277" s="167" t="s">
        <v>352</v>
      </c>
      <c r="E277" s="167">
        <v>180</v>
      </c>
      <c r="F277" s="167">
        <v>10</v>
      </c>
      <c r="G277" s="118">
        <v>190</v>
      </c>
      <c r="H277" s="114">
        <v>6</v>
      </c>
      <c r="I277" s="114">
        <v>8</v>
      </c>
      <c r="J277" s="114">
        <v>14</v>
      </c>
      <c r="K277" s="114">
        <v>26.6</v>
      </c>
      <c r="L277" s="114">
        <v>10.83</v>
      </c>
      <c r="M277" s="114">
        <v>37.43</v>
      </c>
      <c r="N277" s="115">
        <v>1137.1500000000001</v>
      </c>
      <c r="O277" s="116">
        <v>227.43</v>
      </c>
    </row>
    <row r="278" spans="1:20" s="5" customFormat="1" ht="21" x14ac:dyDescent="0.25">
      <c r="A278" s="294" t="s">
        <v>480</v>
      </c>
      <c r="B278" s="241" t="s">
        <v>845</v>
      </c>
      <c r="C278" s="167">
        <v>1</v>
      </c>
      <c r="D278" s="167" t="s">
        <v>5</v>
      </c>
      <c r="E278" s="167">
        <v>10000</v>
      </c>
      <c r="F278" s="167">
        <v>10</v>
      </c>
      <c r="G278" s="118">
        <v>10010</v>
      </c>
      <c r="H278" s="114">
        <v>6</v>
      </c>
      <c r="I278" s="114">
        <v>8</v>
      </c>
      <c r="J278" s="114">
        <v>14</v>
      </c>
      <c r="K278" s="114">
        <v>1401.4</v>
      </c>
      <c r="L278" s="114">
        <v>570.57000000000005</v>
      </c>
      <c r="M278" s="114">
        <v>1971.9700000000003</v>
      </c>
      <c r="N278" s="115">
        <v>11981.97</v>
      </c>
      <c r="O278" s="116">
        <v>11981.97</v>
      </c>
    </row>
    <row r="279" spans="1:20" s="5" customFormat="1" ht="20" x14ac:dyDescent="0.15">
      <c r="A279" s="293" t="s">
        <v>481</v>
      </c>
      <c r="B279" s="228" t="s">
        <v>431</v>
      </c>
      <c r="C279" s="167"/>
      <c r="D279" s="167"/>
      <c r="E279" s="167"/>
      <c r="F279" s="167"/>
      <c r="G279" s="167"/>
      <c r="H279" s="165"/>
      <c r="I279" s="165"/>
      <c r="J279" s="165"/>
      <c r="K279" s="174"/>
      <c r="L279" s="165"/>
      <c r="M279" s="165"/>
      <c r="N279" s="165"/>
      <c r="O279" s="209"/>
    </row>
    <row r="280" spans="1:20" s="5" customFormat="1" ht="21" x14ac:dyDescent="0.25">
      <c r="A280" s="294" t="s">
        <v>482</v>
      </c>
      <c r="B280" s="241" t="s">
        <v>857</v>
      </c>
      <c r="C280" s="167">
        <v>2300</v>
      </c>
      <c r="D280" s="167" t="s">
        <v>98</v>
      </c>
      <c r="E280" s="167">
        <v>10</v>
      </c>
      <c r="F280" s="167">
        <v>5</v>
      </c>
      <c r="G280" s="118">
        <v>15</v>
      </c>
      <c r="H280" s="114">
        <v>6</v>
      </c>
      <c r="I280" s="114">
        <v>8</v>
      </c>
      <c r="J280" s="114">
        <v>14</v>
      </c>
      <c r="K280" s="114">
        <v>2.1</v>
      </c>
      <c r="L280" s="114">
        <v>0.85500000000000009</v>
      </c>
      <c r="M280" s="114">
        <v>2.9550000000000001</v>
      </c>
      <c r="N280" s="115">
        <v>41296.5</v>
      </c>
      <c r="O280" s="116">
        <v>17.954999999999998</v>
      </c>
    </row>
    <row r="281" spans="1:20" s="5" customFormat="1" ht="21" x14ac:dyDescent="0.25">
      <c r="A281" s="294" t="s">
        <v>858</v>
      </c>
      <c r="B281" s="180" t="s">
        <v>424</v>
      </c>
      <c r="C281" s="167">
        <v>100</v>
      </c>
      <c r="D281" s="167" t="s">
        <v>98</v>
      </c>
      <c r="E281" s="167">
        <v>25</v>
      </c>
      <c r="F281" s="112">
        <v>6.25</v>
      </c>
      <c r="G281" s="118">
        <v>31.25</v>
      </c>
      <c r="H281" s="114">
        <v>6</v>
      </c>
      <c r="I281" s="114">
        <v>8</v>
      </c>
      <c r="J281" s="114">
        <v>14</v>
      </c>
      <c r="K281" s="114">
        <v>4.375</v>
      </c>
      <c r="L281" s="114">
        <v>1.78125</v>
      </c>
      <c r="M281" s="114">
        <v>6.15625</v>
      </c>
      <c r="N281" s="115">
        <v>3740.63</v>
      </c>
      <c r="O281" s="116">
        <v>37.406300000000002</v>
      </c>
    </row>
    <row r="282" spans="1:20" s="5" customFormat="1" ht="19" x14ac:dyDescent="0.25">
      <c r="A282" s="304"/>
      <c r="B282" s="234"/>
      <c r="C282" s="167"/>
      <c r="D282" s="233"/>
      <c r="E282" s="305"/>
      <c r="F282" s="167"/>
      <c r="G282" s="232"/>
      <c r="H282" s="230"/>
      <c r="I282" s="230"/>
      <c r="J282" s="230"/>
      <c r="K282" s="231"/>
      <c r="L282" s="230"/>
      <c r="M282" s="191" t="s">
        <v>343</v>
      </c>
      <c r="N282" s="184">
        <v>643372.5425000001</v>
      </c>
      <c r="O282" s="300"/>
    </row>
    <row r="283" spans="1:20" s="105" customFormat="1" ht="21" x14ac:dyDescent="0.25">
      <c r="A283" s="193">
        <v>10</v>
      </c>
      <c r="B283" s="225" t="s">
        <v>391</v>
      </c>
      <c r="C283" s="121"/>
      <c r="D283" s="122"/>
      <c r="E283" s="121"/>
      <c r="F283" s="121"/>
      <c r="G283" s="219"/>
      <c r="H283" s="125"/>
      <c r="I283" s="125"/>
      <c r="J283" s="125"/>
      <c r="K283" s="125"/>
      <c r="L283" s="125"/>
      <c r="M283" s="125"/>
      <c r="N283" s="152"/>
      <c r="O283" s="153"/>
    </row>
    <row r="284" spans="1:20" s="105" customFormat="1" ht="20" x14ac:dyDescent="0.15">
      <c r="A284" s="198">
        <v>10.1</v>
      </c>
      <c r="B284" s="311" t="s">
        <v>567</v>
      </c>
      <c r="C284" s="110"/>
      <c r="D284" s="111"/>
      <c r="E284" s="110"/>
      <c r="F284" s="112"/>
      <c r="G284" s="118"/>
      <c r="H284" s="114"/>
      <c r="I284" s="114"/>
      <c r="J284" s="114"/>
      <c r="K284" s="114"/>
      <c r="L284" s="114"/>
      <c r="M284" s="114"/>
      <c r="N284" s="115"/>
      <c r="O284" s="209"/>
    </row>
    <row r="285" spans="1:20" s="105" customFormat="1" ht="20" x14ac:dyDescent="0.25">
      <c r="A285" s="293" t="s">
        <v>568</v>
      </c>
      <c r="B285" s="287" t="s">
        <v>569</v>
      </c>
      <c r="C285" s="110">
        <v>207</v>
      </c>
      <c r="D285" s="111" t="s">
        <v>98</v>
      </c>
      <c r="E285" s="110">
        <v>420</v>
      </c>
      <c r="F285" s="112">
        <v>105</v>
      </c>
      <c r="G285" s="118">
        <v>525</v>
      </c>
      <c r="H285" s="114">
        <v>6</v>
      </c>
      <c r="I285" s="114">
        <v>8</v>
      </c>
      <c r="J285" s="114">
        <v>14</v>
      </c>
      <c r="K285" s="114">
        <v>73.5</v>
      </c>
      <c r="L285" s="114">
        <v>29.925000000000001</v>
      </c>
      <c r="M285" s="114">
        <v>103.425</v>
      </c>
      <c r="N285" s="115">
        <v>130083.98</v>
      </c>
      <c r="O285" s="209">
        <v>628.42502415458932</v>
      </c>
    </row>
    <row r="286" spans="1:20" s="105" customFormat="1" ht="20" x14ac:dyDescent="0.25">
      <c r="A286" s="293" t="s">
        <v>573</v>
      </c>
      <c r="B286" s="287" t="s">
        <v>570</v>
      </c>
      <c r="C286" s="110">
        <v>726</v>
      </c>
      <c r="D286" s="111" t="s">
        <v>98</v>
      </c>
      <c r="E286" s="110">
        <v>250</v>
      </c>
      <c r="F286" s="112">
        <v>62.5</v>
      </c>
      <c r="G286" s="118">
        <v>312.5</v>
      </c>
      <c r="H286" s="114">
        <v>6</v>
      </c>
      <c r="I286" s="114">
        <v>8</v>
      </c>
      <c r="J286" s="114">
        <v>14</v>
      </c>
      <c r="K286" s="114">
        <v>43.750000000000007</v>
      </c>
      <c r="L286" s="114">
        <v>17.8125</v>
      </c>
      <c r="M286" s="114">
        <v>61.562500000000007</v>
      </c>
      <c r="N286" s="115">
        <v>271569.38</v>
      </c>
      <c r="O286" s="209">
        <v>374.06250688705234</v>
      </c>
    </row>
    <row r="287" spans="1:20" s="105" customFormat="1" ht="20" x14ac:dyDescent="0.25">
      <c r="A287" s="293" t="s">
        <v>574</v>
      </c>
      <c r="B287" s="287" t="s">
        <v>572</v>
      </c>
      <c r="C287" s="110">
        <v>263</v>
      </c>
      <c r="D287" s="111" t="s">
        <v>352</v>
      </c>
      <c r="E287" s="110">
        <v>135</v>
      </c>
      <c r="F287" s="112">
        <v>33.75</v>
      </c>
      <c r="G287" s="118">
        <v>168.75</v>
      </c>
      <c r="H287" s="114">
        <v>6</v>
      </c>
      <c r="I287" s="114">
        <v>8</v>
      </c>
      <c r="J287" s="114">
        <v>14</v>
      </c>
      <c r="K287" s="114">
        <v>23.625000000000004</v>
      </c>
      <c r="L287" s="114">
        <v>9.6187500000000004</v>
      </c>
      <c r="M287" s="114">
        <v>33.243750000000006</v>
      </c>
      <c r="N287" s="115">
        <v>53124.36</v>
      </c>
      <c r="O287" s="209">
        <v>201.99376425855513</v>
      </c>
    </row>
    <row r="288" spans="1:20" s="105" customFormat="1" ht="20" x14ac:dyDescent="0.25">
      <c r="A288" s="293" t="s">
        <v>575</v>
      </c>
      <c r="B288" s="287" t="s">
        <v>571</v>
      </c>
      <c r="C288" s="110">
        <v>784</v>
      </c>
      <c r="D288" s="111" t="s">
        <v>352</v>
      </c>
      <c r="E288" s="110">
        <v>75</v>
      </c>
      <c r="F288" s="112">
        <v>18.75</v>
      </c>
      <c r="G288" s="118">
        <v>93.75</v>
      </c>
      <c r="H288" s="114">
        <v>6</v>
      </c>
      <c r="I288" s="114">
        <v>8</v>
      </c>
      <c r="J288" s="114">
        <v>14</v>
      </c>
      <c r="K288" s="114">
        <v>13.125000000000002</v>
      </c>
      <c r="L288" s="114">
        <v>5.34375</v>
      </c>
      <c r="M288" s="114">
        <v>18.46875</v>
      </c>
      <c r="N288" s="115">
        <v>87979.5</v>
      </c>
      <c r="O288" s="209">
        <v>112.21875</v>
      </c>
    </row>
    <row r="289" spans="1:15" s="105" customFormat="1" ht="20" x14ac:dyDescent="0.25">
      <c r="A289" s="293" t="s">
        <v>578</v>
      </c>
      <c r="B289" s="287" t="s">
        <v>577</v>
      </c>
      <c r="C289" s="110">
        <v>134</v>
      </c>
      <c r="D289" s="111" t="s">
        <v>352</v>
      </c>
      <c r="E289" s="110">
        <v>230</v>
      </c>
      <c r="F289" s="112">
        <v>57.5</v>
      </c>
      <c r="G289" s="118">
        <v>287.5</v>
      </c>
      <c r="H289" s="114">
        <v>6</v>
      </c>
      <c r="I289" s="114">
        <v>8</v>
      </c>
      <c r="J289" s="114">
        <v>14</v>
      </c>
      <c r="K289" s="114">
        <v>40.250000000000007</v>
      </c>
      <c r="L289" s="114">
        <v>16.387499999999999</v>
      </c>
      <c r="M289" s="114">
        <v>56.637500000000003</v>
      </c>
      <c r="N289" s="115">
        <v>46114.43</v>
      </c>
      <c r="O289" s="209">
        <v>344.13753731343286</v>
      </c>
    </row>
    <row r="290" spans="1:15" s="105" customFormat="1" ht="20" x14ac:dyDescent="0.25">
      <c r="A290" s="293" t="s">
        <v>579</v>
      </c>
      <c r="B290" s="287" t="s">
        <v>576</v>
      </c>
      <c r="C290" s="110">
        <v>263</v>
      </c>
      <c r="D290" s="111" t="s">
        <v>352</v>
      </c>
      <c r="E290" s="110">
        <v>90</v>
      </c>
      <c r="F290" s="112">
        <v>22.5</v>
      </c>
      <c r="G290" s="118">
        <v>112.5</v>
      </c>
      <c r="H290" s="114">
        <v>6</v>
      </c>
      <c r="I290" s="114">
        <v>8</v>
      </c>
      <c r="J290" s="114">
        <v>14</v>
      </c>
      <c r="K290" s="114">
        <v>15.750000000000002</v>
      </c>
      <c r="L290" s="114">
        <v>6.4125000000000005</v>
      </c>
      <c r="M290" s="114">
        <v>22.162500000000001</v>
      </c>
      <c r="N290" s="115">
        <v>35416.239999999998</v>
      </c>
      <c r="O290" s="209">
        <v>134.66250950570341</v>
      </c>
    </row>
    <row r="291" spans="1:15" s="105" customFormat="1" ht="20" x14ac:dyDescent="0.25">
      <c r="A291" s="293" t="s">
        <v>583</v>
      </c>
      <c r="B291" s="287" t="s">
        <v>580</v>
      </c>
      <c r="C291" s="110">
        <v>392</v>
      </c>
      <c r="D291" s="111" t="s">
        <v>352</v>
      </c>
      <c r="E291" s="110">
        <v>80</v>
      </c>
      <c r="F291" s="112">
        <v>20</v>
      </c>
      <c r="G291" s="118">
        <v>100</v>
      </c>
      <c r="H291" s="114">
        <v>6</v>
      </c>
      <c r="I291" s="114">
        <v>8</v>
      </c>
      <c r="J291" s="114">
        <v>14</v>
      </c>
      <c r="K291" s="114">
        <v>14.000000000000002</v>
      </c>
      <c r="L291" s="114">
        <v>5.7</v>
      </c>
      <c r="M291" s="114">
        <v>19.700000000000003</v>
      </c>
      <c r="N291" s="115">
        <v>46922.400000000001</v>
      </c>
      <c r="O291" s="209">
        <v>119.7</v>
      </c>
    </row>
    <row r="292" spans="1:15" s="105" customFormat="1" ht="20" x14ac:dyDescent="0.25">
      <c r="A292" s="293" t="s">
        <v>584</v>
      </c>
      <c r="B292" s="287" t="s">
        <v>581</v>
      </c>
      <c r="C292" s="110">
        <v>134</v>
      </c>
      <c r="D292" s="111" t="s">
        <v>352</v>
      </c>
      <c r="E292" s="110">
        <v>130</v>
      </c>
      <c r="F292" s="112">
        <v>32.5</v>
      </c>
      <c r="G292" s="118">
        <v>162.5</v>
      </c>
      <c r="H292" s="114">
        <v>6</v>
      </c>
      <c r="I292" s="114">
        <v>8</v>
      </c>
      <c r="J292" s="114">
        <v>14</v>
      </c>
      <c r="K292" s="114">
        <v>22.750000000000004</v>
      </c>
      <c r="L292" s="114">
        <v>9.2625000000000011</v>
      </c>
      <c r="M292" s="114">
        <v>32.012500000000003</v>
      </c>
      <c r="N292" s="115">
        <v>26064.68</v>
      </c>
      <c r="O292" s="209">
        <v>194.51253731343283</v>
      </c>
    </row>
    <row r="293" spans="1:15" s="105" customFormat="1" ht="20" x14ac:dyDescent="0.25">
      <c r="A293" s="293" t="s">
        <v>585</v>
      </c>
      <c r="B293" s="287" t="s">
        <v>582</v>
      </c>
      <c r="C293" s="110">
        <v>158</v>
      </c>
      <c r="D293" s="111" t="s">
        <v>352</v>
      </c>
      <c r="E293" s="110">
        <v>70</v>
      </c>
      <c r="F293" s="112">
        <v>17.5</v>
      </c>
      <c r="G293" s="118">
        <v>87.5</v>
      </c>
      <c r="H293" s="114">
        <v>6</v>
      </c>
      <c r="I293" s="114">
        <v>8</v>
      </c>
      <c r="J293" s="114">
        <v>14</v>
      </c>
      <c r="K293" s="114">
        <v>12.250000000000002</v>
      </c>
      <c r="L293" s="114">
        <v>4.9875000000000007</v>
      </c>
      <c r="M293" s="114">
        <v>17.237500000000004</v>
      </c>
      <c r="N293" s="115">
        <v>16548.53</v>
      </c>
      <c r="O293" s="209">
        <v>104.73753164556962</v>
      </c>
    </row>
    <row r="294" spans="1:15" s="105" customFormat="1" ht="20" x14ac:dyDescent="0.25">
      <c r="A294" s="293" t="s">
        <v>589</v>
      </c>
      <c r="B294" s="287" t="s">
        <v>586</v>
      </c>
      <c r="C294" s="110">
        <v>155</v>
      </c>
      <c r="D294" s="111" t="s">
        <v>352</v>
      </c>
      <c r="E294" s="110">
        <v>315</v>
      </c>
      <c r="F294" s="112">
        <v>78.75</v>
      </c>
      <c r="G294" s="118">
        <v>393.75</v>
      </c>
      <c r="H294" s="114">
        <v>6</v>
      </c>
      <c r="I294" s="114">
        <v>8</v>
      </c>
      <c r="J294" s="114">
        <v>14</v>
      </c>
      <c r="K294" s="114">
        <v>55.125000000000007</v>
      </c>
      <c r="L294" s="114">
        <v>22.443750000000001</v>
      </c>
      <c r="M294" s="114">
        <v>77.568750000000009</v>
      </c>
      <c r="N294" s="115">
        <v>73054.41</v>
      </c>
      <c r="O294" s="209">
        <v>471.31877419354839</v>
      </c>
    </row>
    <row r="295" spans="1:15" s="105" customFormat="1" ht="20" x14ac:dyDescent="0.25">
      <c r="A295" s="293" t="s">
        <v>590</v>
      </c>
      <c r="B295" s="287" t="s">
        <v>587</v>
      </c>
      <c r="C295" s="110">
        <v>388</v>
      </c>
      <c r="D295" s="111" t="s">
        <v>352</v>
      </c>
      <c r="E295" s="110">
        <v>350</v>
      </c>
      <c r="F295" s="112">
        <v>87.5</v>
      </c>
      <c r="G295" s="118">
        <v>437.5</v>
      </c>
      <c r="H295" s="114">
        <v>6</v>
      </c>
      <c r="I295" s="114">
        <v>8</v>
      </c>
      <c r="J295" s="114">
        <v>14</v>
      </c>
      <c r="K295" s="114">
        <v>61.250000000000007</v>
      </c>
      <c r="L295" s="114">
        <v>24.9375</v>
      </c>
      <c r="M295" s="114">
        <v>86.1875</v>
      </c>
      <c r="N295" s="115">
        <v>203190.75</v>
      </c>
      <c r="O295" s="209">
        <v>523.6875</v>
      </c>
    </row>
    <row r="296" spans="1:15" s="105" customFormat="1" ht="20" x14ac:dyDescent="0.25">
      <c r="A296" s="293" t="s">
        <v>591</v>
      </c>
      <c r="B296" s="287" t="s">
        <v>588</v>
      </c>
      <c r="C296" s="110">
        <v>1</v>
      </c>
      <c r="D296" s="111" t="s">
        <v>5</v>
      </c>
      <c r="E296" s="110">
        <v>25000</v>
      </c>
      <c r="F296" s="112">
        <v>10000</v>
      </c>
      <c r="G296" s="118">
        <v>35000</v>
      </c>
      <c r="H296" s="114">
        <v>6</v>
      </c>
      <c r="I296" s="114">
        <v>8</v>
      </c>
      <c r="J296" s="114">
        <v>14</v>
      </c>
      <c r="K296" s="114">
        <v>4900.0000000000009</v>
      </c>
      <c r="L296" s="114">
        <v>1995</v>
      </c>
      <c r="M296" s="114">
        <v>6895.0000000000009</v>
      </c>
      <c r="N296" s="115">
        <v>41895</v>
      </c>
      <c r="O296" s="209">
        <v>41895</v>
      </c>
    </row>
    <row r="297" spans="1:15" s="105" customFormat="1" ht="20" x14ac:dyDescent="0.15">
      <c r="A297" s="293" t="s">
        <v>592</v>
      </c>
      <c r="B297" s="325" t="s">
        <v>811</v>
      </c>
      <c r="C297" s="110">
        <v>1</v>
      </c>
      <c r="D297" s="111" t="s">
        <v>5</v>
      </c>
      <c r="E297" s="110">
        <v>10000</v>
      </c>
      <c r="F297" s="112">
        <v>5000</v>
      </c>
      <c r="G297" s="118">
        <v>15000</v>
      </c>
      <c r="H297" s="114">
        <v>6</v>
      </c>
      <c r="I297" s="114">
        <v>8</v>
      </c>
      <c r="J297" s="114">
        <v>14</v>
      </c>
      <c r="K297" s="114">
        <v>2100</v>
      </c>
      <c r="L297" s="114">
        <v>855</v>
      </c>
      <c r="M297" s="114">
        <v>2955</v>
      </c>
      <c r="N297" s="115">
        <v>17955</v>
      </c>
      <c r="O297" s="209">
        <v>17955</v>
      </c>
    </row>
    <row r="298" spans="1:15" s="105" customFormat="1" ht="21" x14ac:dyDescent="0.25">
      <c r="A298" s="198"/>
      <c r="B298" s="203"/>
      <c r="C298" s="112"/>
      <c r="D298" s="111"/>
      <c r="E298" s="112"/>
      <c r="F298" s="112"/>
      <c r="G298" s="118"/>
      <c r="H298" s="114"/>
      <c r="I298" s="114"/>
      <c r="J298" s="114"/>
      <c r="K298" s="114"/>
      <c r="L298" s="114"/>
      <c r="M298" s="191" t="s">
        <v>343</v>
      </c>
      <c r="N298" s="184">
        <v>1049918.6600000001</v>
      </c>
      <c r="O298" s="116"/>
    </row>
    <row r="299" spans="1:15" s="105" customFormat="1" ht="21" x14ac:dyDescent="0.15">
      <c r="A299" s="193">
        <v>11</v>
      </c>
      <c r="B299" s="196" t="s">
        <v>392</v>
      </c>
      <c r="C299" s="121"/>
      <c r="D299" s="122"/>
      <c r="E299" s="121"/>
      <c r="F299" s="121"/>
      <c r="G299" s="219"/>
      <c r="H299" s="125"/>
      <c r="I299" s="125"/>
      <c r="J299" s="125"/>
      <c r="K299" s="125"/>
      <c r="L299" s="125"/>
      <c r="M299" s="125"/>
      <c r="N299" s="152"/>
      <c r="O299" s="153"/>
    </row>
    <row r="300" spans="1:15" s="105" customFormat="1" ht="21" x14ac:dyDescent="0.15">
      <c r="A300" s="198">
        <v>11.1</v>
      </c>
      <c r="B300" s="271" t="s">
        <v>506</v>
      </c>
      <c r="C300" s="141"/>
      <c r="D300" s="111"/>
      <c r="E300" s="112"/>
      <c r="F300" s="112"/>
      <c r="G300" s="266"/>
      <c r="H300" s="267"/>
      <c r="I300" s="267"/>
      <c r="J300" s="267"/>
      <c r="K300" s="267"/>
      <c r="L300" s="267"/>
      <c r="M300" s="267"/>
      <c r="N300" s="268"/>
      <c r="O300" s="116"/>
    </row>
    <row r="301" spans="1:15" s="105" customFormat="1" ht="21" x14ac:dyDescent="0.15">
      <c r="A301" s="293" t="s">
        <v>513</v>
      </c>
      <c r="B301" s="273" t="s">
        <v>509</v>
      </c>
      <c r="C301" s="141">
        <v>78</v>
      </c>
      <c r="D301" s="111" t="s">
        <v>98</v>
      </c>
      <c r="E301" s="112">
        <v>570</v>
      </c>
      <c r="F301" s="112">
        <v>171</v>
      </c>
      <c r="G301" s="118">
        <v>741</v>
      </c>
      <c r="H301" s="114">
        <v>6</v>
      </c>
      <c r="I301" s="114">
        <v>8</v>
      </c>
      <c r="J301" s="114">
        <v>14</v>
      </c>
      <c r="K301" s="114">
        <v>103.74000000000001</v>
      </c>
      <c r="L301" s="114">
        <v>42.237000000000002</v>
      </c>
      <c r="M301" s="114">
        <v>145.977</v>
      </c>
      <c r="N301" s="115">
        <v>69184.210000000006</v>
      </c>
      <c r="O301" s="116">
        <v>886.97705128205132</v>
      </c>
    </row>
    <row r="302" spans="1:15" s="105" customFormat="1" ht="21" x14ac:dyDescent="0.15">
      <c r="A302" s="293" t="s">
        <v>514</v>
      </c>
      <c r="B302" s="273" t="s">
        <v>510</v>
      </c>
      <c r="C302" s="141">
        <v>150</v>
      </c>
      <c r="D302" s="111" t="s">
        <v>98</v>
      </c>
      <c r="E302" s="112">
        <v>270</v>
      </c>
      <c r="F302" s="112">
        <v>81</v>
      </c>
      <c r="G302" s="118">
        <v>351</v>
      </c>
      <c r="H302" s="114">
        <v>6</v>
      </c>
      <c r="I302" s="114">
        <v>8</v>
      </c>
      <c r="J302" s="114">
        <v>14</v>
      </c>
      <c r="K302" s="114">
        <v>49.140000000000008</v>
      </c>
      <c r="L302" s="114">
        <v>20.007000000000001</v>
      </c>
      <c r="M302" s="114">
        <v>69.147000000000006</v>
      </c>
      <c r="N302" s="115">
        <v>63022.05</v>
      </c>
      <c r="O302" s="116">
        <v>420.14699999999999</v>
      </c>
    </row>
    <row r="303" spans="1:15" s="105" customFormat="1" ht="21" x14ac:dyDescent="0.15">
      <c r="A303" s="293" t="s">
        <v>515</v>
      </c>
      <c r="B303" s="273" t="s">
        <v>511</v>
      </c>
      <c r="C303" s="141">
        <v>120</v>
      </c>
      <c r="D303" s="111" t="s">
        <v>98</v>
      </c>
      <c r="E303" s="112">
        <v>200</v>
      </c>
      <c r="F303" s="112">
        <v>60</v>
      </c>
      <c r="G303" s="118">
        <v>260</v>
      </c>
      <c r="H303" s="114">
        <v>6</v>
      </c>
      <c r="I303" s="114">
        <v>8</v>
      </c>
      <c r="J303" s="114">
        <v>14</v>
      </c>
      <c r="K303" s="114">
        <v>36.400000000000006</v>
      </c>
      <c r="L303" s="114">
        <v>14.82</v>
      </c>
      <c r="M303" s="114">
        <v>51.220000000000006</v>
      </c>
      <c r="N303" s="115">
        <v>37346.400000000001</v>
      </c>
      <c r="O303" s="116">
        <v>311.22000000000003</v>
      </c>
    </row>
    <row r="304" spans="1:15" s="105" customFormat="1" ht="21" x14ac:dyDescent="0.15">
      <c r="A304" s="293" t="s">
        <v>516</v>
      </c>
      <c r="B304" s="273" t="s">
        <v>512</v>
      </c>
      <c r="C304" s="141">
        <v>249</v>
      </c>
      <c r="D304" s="111" t="s">
        <v>98</v>
      </c>
      <c r="E304" s="112">
        <v>120</v>
      </c>
      <c r="F304" s="112">
        <v>36</v>
      </c>
      <c r="G304" s="118">
        <v>156</v>
      </c>
      <c r="H304" s="114">
        <v>6</v>
      </c>
      <c r="I304" s="114">
        <v>8</v>
      </c>
      <c r="J304" s="114">
        <v>14</v>
      </c>
      <c r="K304" s="114">
        <v>21.840000000000003</v>
      </c>
      <c r="L304" s="114">
        <v>8.8920000000000012</v>
      </c>
      <c r="M304" s="114">
        <v>30.732000000000006</v>
      </c>
      <c r="N304" s="115">
        <v>46496.27</v>
      </c>
      <c r="O304" s="116">
        <v>186.7320080321285</v>
      </c>
    </row>
    <row r="305" spans="1:15" s="105" customFormat="1" ht="21" x14ac:dyDescent="0.15">
      <c r="A305" s="293" t="s">
        <v>517</v>
      </c>
      <c r="B305" s="290" t="s">
        <v>610</v>
      </c>
      <c r="C305" s="141">
        <v>2</v>
      </c>
      <c r="D305" s="111" t="s">
        <v>352</v>
      </c>
      <c r="E305" s="112">
        <v>1500</v>
      </c>
      <c r="F305" s="112">
        <v>450</v>
      </c>
      <c r="G305" s="118">
        <v>1950</v>
      </c>
      <c r="H305" s="114">
        <v>6</v>
      </c>
      <c r="I305" s="114">
        <v>8</v>
      </c>
      <c r="J305" s="114">
        <v>14</v>
      </c>
      <c r="K305" s="114">
        <v>273</v>
      </c>
      <c r="L305" s="114">
        <v>111.15</v>
      </c>
      <c r="M305" s="114">
        <v>384.15</v>
      </c>
      <c r="N305" s="115">
        <v>4668.3</v>
      </c>
      <c r="O305" s="116">
        <v>2334.15</v>
      </c>
    </row>
    <row r="306" spans="1:15" s="105" customFormat="1" ht="21" x14ac:dyDescent="0.15">
      <c r="A306" s="293" t="s">
        <v>518</v>
      </c>
      <c r="B306" s="290" t="s">
        <v>492</v>
      </c>
      <c r="C306" s="141">
        <v>16</v>
      </c>
      <c r="D306" s="111" t="s">
        <v>352</v>
      </c>
      <c r="E306" s="112">
        <v>1100</v>
      </c>
      <c r="F306" s="112">
        <v>330</v>
      </c>
      <c r="G306" s="118">
        <v>1430</v>
      </c>
      <c r="H306" s="114">
        <v>6</v>
      </c>
      <c r="I306" s="114">
        <v>8</v>
      </c>
      <c r="J306" s="114">
        <v>14</v>
      </c>
      <c r="K306" s="114">
        <v>200.20000000000002</v>
      </c>
      <c r="L306" s="114">
        <v>81.510000000000005</v>
      </c>
      <c r="M306" s="114">
        <v>281.71000000000004</v>
      </c>
      <c r="N306" s="115">
        <v>27387.360000000001</v>
      </c>
      <c r="O306" s="116">
        <v>1711.71</v>
      </c>
    </row>
    <row r="307" spans="1:15" s="105" customFormat="1" ht="21" x14ac:dyDescent="0.15">
      <c r="A307" s="293" t="s">
        <v>519</v>
      </c>
      <c r="B307" s="290" t="s">
        <v>611</v>
      </c>
      <c r="C307" s="141">
        <v>4</v>
      </c>
      <c r="D307" s="111" t="s">
        <v>352</v>
      </c>
      <c r="E307" s="141">
        <v>750</v>
      </c>
      <c r="F307" s="112">
        <v>225</v>
      </c>
      <c r="G307" s="118">
        <v>975</v>
      </c>
      <c r="H307" s="114">
        <v>6</v>
      </c>
      <c r="I307" s="114">
        <v>8</v>
      </c>
      <c r="J307" s="114">
        <v>14</v>
      </c>
      <c r="K307" s="114">
        <v>136.5</v>
      </c>
      <c r="L307" s="114">
        <v>55.575000000000003</v>
      </c>
      <c r="M307" s="114">
        <v>192.07499999999999</v>
      </c>
      <c r="N307" s="115">
        <v>4668.3</v>
      </c>
      <c r="O307" s="116">
        <v>1167.075</v>
      </c>
    </row>
    <row r="308" spans="1:15" s="105" customFormat="1" ht="21" x14ac:dyDescent="0.15">
      <c r="A308" s="293" t="s">
        <v>520</v>
      </c>
      <c r="B308" s="290" t="s">
        <v>493</v>
      </c>
      <c r="C308" s="141">
        <v>38</v>
      </c>
      <c r="D308" s="111" t="s">
        <v>352</v>
      </c>
      <c r="E308" s="141">
        <v>180</v>
      </c>
      <c r="F308" s="112">
        <v>54</v>
      </c>
      <c r="G308" s="118">
        <v>234</v>
      </c>
      <c r="H308" s="114">
        <v>6</v>
      </c>
      <c r="I308" s="114">
        <v>8</v>
      </c>
      <c r="J308" s="114">
        <v>14</v>
      </c>
      <c r="K308" s="114">
        <v>32.760000000000005</v>
      </c>
      <c r="L308" s="114">
        <v>13.338000000000001</v>
      </c>
      <c r="M308" s="114">
        <v>46.098000000000006</v>
      </c>
      <c r="N308" s="115">
        <v>10643.72</v>
      </c>
      <c r="O308" s="116">
        <v>280.09789473684208</v>
      </c>
    </row>
    <row r="309" spans="1:15" s="105" customFormat="1" ht="21" x14ac:dyDescent="0.15">
      <c r="A309" s="293" t="s">
        <v>521</v>
      </c>
      <c r="B309" s="290" t="s">
        <v>494</v>
      </c>
      <c r="C309" s="141">
        <v>34</v>
      </c>
      <c r="D309" s="111" t="s">
        <v>352</v>
      </c>
      <c r="E309" s="141">
        <v>100</v>
      </c>
      <c r="F309" s="112">
        <v>30</v>
      </c>
      <c r="G309" s="118">
        <v>130</v>
      </c>
      <c r="H309" s="114">
        <v>6</v>
      </c>
      <c r="I309" s="114">
        <v>8</v>
      </c>
      <c r="J309" s="114">
        <v>14</v>
      </c>
      <c r="K309" s="114">
        <v>18.200000000000003</v>
      </c>
      <c r="L309" s="114">
        <v>7.41</v>
      </c>
      <c r="M309" s="114">
        <v>25.610000000000003</v>
      </c>
      <c r="N309" s="115">
        <v>5290.74</v>
      </c>
      <c r="O309" s="116">
        <v>155.60999999999999</v>
      </c>
    </row>
    <row r="310" spans="1:15" s="105" customFormat="1" ht="21" x14ac:dyDescent="0.15">
      <c r="A310" s="293" t="s">
        <v>522</v>
      </c>
      <c r="B310" s="290" t="s">
        <v>495</v>
      </c>
      <c r="C310" s="141">
        <v>41</v>
      </c>
      <c r="D310" s="111" t="s">
        <v>352</v>
      </c>
      <c r="E310" s="141">
        <v>85</v>
      </c>
      <c r="F310" s="112">
        <v>25.5</v>
      </c>
      <c r="G310" s="118">
        <v>110.5</v>
      </c>
      <c r="H310" s="114">
        <v>6</v>
      </c>
      <c r="I310" s="114">
        <v>8</v>
      </c>
      <c r="J310" s="114">
        <v>14</v>
      </c>
      <c r="K310" s="114">
        <v>15.47</v>
      </c>
      <c r="L310" s="114">
        <v>6.2985000000000007</v>
      </c>
      <c r="M310" s="114">
        <v>21.768500000000003</v>
      </c>
      <c r="N310" s="115">
        <v>5423.01</v>
      </c>
      <c r="O310" s="116">
        <v>132.26853658536587</v>
      </c>
    </row>
    <row r="311" spans="1:15" s="105" customFormat="1" ht="21" x14ac:dyDescent="0.15">
      <c r="A311" s="293" t="s">
        <v>523</v>
      </c>
      <c r="B311" s="290" t="s">
        <v>496</v>
      </c>
      <c r="C311" s="141">
        <v>80</v>
      </c>
      <c r="D311" s="111" t="s">
        <v>352</v>
      </c>
      <c r="E311" s="141">
        <v>75</v>
      </c>
      <c r="F311" s="112">
        <v>22.5</v>
      </c>
      <c r="G311" s="118">
        <v>97.5</v>
      </c>
      <c r="H311" s="114">
        <v>6</v>
      </c>
      <c r="I311" s="114">
        <v>8</v>
      </c>
      <c r="J311" s="114">
        <v>14</v>
      </c>
      <c r="K311" s="114">
        <v>13.650000000000002</v>
      </c>
      <c r="L311" s="114">
        <v>5.557500000000001</v>
      </c>
      <c r="M311" s="114">
        <v>19.207500000000003</v>
      </c>
      <c r="N311" s="115">
        <v>9336.6</v>
      </c>
      <c r="O311" s="116">
        <v>116.70750000000001</v>
      </c>
    </row>
    <row r="312" spans="1:15" s="105" customFormat="1" ht="21" x14ac:dyDescent="0.15">
      <c r="A312" s="293" t="s">
        <v>524</v>
      </c>
      <c r="B312" s="290" t="s">
        <v>618</v>
      </c>
      <c r="C312" s="141">
        <v>10</v>
      </c>
      <c r="D312" s="111" t="s">
        <v>352</v>
      </c>
      <c r="E312" s="141">
        <v>150</v>
      </c>
      <c r="F312" s="112">
        <v>45</v>
      </c>
      <c r="G312" s="118">
        <v>195</v>
      </c>
      <c r="H312" s="114">
        <v>6</v>
      </c>
      <c r="I312" s="114">
        <v>8</v>
      </c>
      <c r="J312" s="114">
        <v>14</v>
      </c>
      <c r="K312" s="114">
        <v>27.300000000000004</v>
      </c>
      <c r="L312" s="114">
        <v>11.115000000000002</v>
      </c>
      <c r="M312" s="114">
        <v>38.415000000000006</v>
      </c>
      <c r="N312" s="115">
        <v>2334.15</v>
      </c>
      <c r="O312" s="116">
        <v>233.41500000000002</v>
      </c>
    </row>
    <row r="313" spans="1:15" s="105" customFormat="1" ht="21" x14ac:dyDescent="0.15">
      <c r="A313" s="293" t="s">
        <v>525</v>
      </c>
      <c r="B313" s="290" t="s">
        <v>617</v>
      </c>
      <c r="C313" s="141">
        <v>20</v>
      </c>
      <c r="D313" s="111" t="s">
        <v>352</v>
      </c>
      <c r="E313" s="141">
        <v>85</v>
      </c>
      <c r="F313" s="112">
        <v>25.5</v>
      </c>
      <c r="G313" s="118">
        <v>110.5</v>
      </c>
      <c r="H313" s="114">
        <v>6</v>
      </c>
      <c r="I313" s="114">
        <v>8</v>
      </c>
      <c r="J313" s="114">
        <v>14</v>
      </c>
      <c r="K313" s="114">
        <v>15.47</v>
      </c>
      <c r="L313" s="114">
        <v>6.2985000000000007</v>
      </c>
      <c r="M313" s="114">
        <v>21.768500000000003</v>
      </c>
      <c r="N313" s="115">
        <v>2645.37</v>
      </c>
      <c r="O313" s="116">
        <v>132.26849999999999</v>
      </c>
    </row>
    <row r="314" spans="1:15" s="105" customFormat="1" ht="21" x14ac:dyDescent="0.15">
      <c r="A314" s="293" t="s">
        <v>526</v>
      </c>
      <c r="B314" s="290" t="s">
        <v>616</v>
      </c>
      <c r="C314" s="141">
        <v>10</v>
      </c>
      <c r="D314" s="111" t="s">
        <v>352</v>
      </c>
      <c r="E314" s="141">
        <v>65</v>
      </c>
      <c r="F314" s="112">
        <v>19.5</v>
      </c>
      <c r="G314" s="118">
        <v>84.5</v>
      </c>
      <c r="H314" s="114">
        <v>6</v>
      </c>
      <c r="I314" s="114">
        <v>8</v>
      </c>
      <c r="J314" s="114">
        <v>14</v>
      </c>
      <c r="K314" s="114">
        <v>11.830000000000002</v>
      </c>
      <c r="L314" s="114">
        <v>4.8165000000000004</v>
      </c>
      <c r="M314" s="114">
        <v>16.646500000000003</v>
      </c>
      <c r="N314" s="115">
        <v>1011.47</v>
      </c>
      <c r="O314" s="116">
        <v>101.14700000000001</v>
      </c>
    </row>
    <row r="315" spans="1:15" s="105" customFormat="1" ht="21" x14ac:dyDescent="0.15">
      <c r="A315" s="293" t="s">
        <v>527</v>
      </c>
      <c r="B315" s="290" t="s">
        <v>497</v>
      </c>
      <c r="C315" s="141">
        <v>20</v>
      </c>
      <c r="D315" s="111" t="s">
        <v>352</v>
      </c>
      <c r="E315" s="141">
        <v>60</v>
      </c>
      <c r="F315" s="112">
        <v>18</v>
      </c>
      <c r="G315" s="118">
        <v>78</v>
      </c>
      <c r="H315" s="114">
        <v>6</v>
      </c>
      <c r="I315" s="114">
        <v>8</v>
      </c>
      <c r="J315" s="114">
        <v>14</v>
      </c>
      <c r="K315" s="114">
        <v>10.920000000000002</v>
      </c>
      <c r="L315" s="114">
        <v>4.4460000000000006</v>
      </c>
      <c r="M315" s="114">
        <v>15.366000000000003</v>
      </c>
      <c r="N315" s="115">
        <v>1867.32</v>
      </c>
      <c r="O315" s="116">
        <v>93.366</v>
      </c>
    </row>
    <row r="316" spans="1:15" s="105" customFormat="1" ht="21" x14ac:dyDescent="0.15">
      <c r="A316" s="293" t="s">
        <v>528</v>
      </c>
      <c r="B316" s="290" t="s">
        <v>498</v>
      </c>
      <c r="C316" s="141">
        <v>20</v>
      </c>
      <c r="D316" s="111" t="s">
        <v>352</v>
      </c>
      <c r="E316" s="141">
        <v>50</v>
      </c>
      <c r="F316" s="112">
        <v>15</v>
      </c>
      <c r="G316" s="118">
        <v>65</v>
      </c>
      <c r="H316" s="114">
        <v>6</v>
      </c>
      <c r="I316" s="114">
        <v>8</v>
      </c>
      <c r="J316" s="114">
        <v>14</v>
      </c>
      <c r="K316" s="114">
        <v>9.1000000000000014</v>
      </c>
      <c r="L316" s="114">
        <v>3.7050000000000001</v>
      </c>
      <c r="M316" s="114">
        <v>12.805000000000001</v>
      </c>
      <c r="N316" s="115">
        <v>1556.1</v>
      </c>
      <c r="O316" s="116">
        <v>77.804999999999993</v>
      </c>
    </row>
    <row r="317" spans="1:15" s="105" customFormat="1" ht="21" x14ac:dyDescent="0.15">
      <c r="A317" s="293" t="s">
        <v>529</v>
      </c>
      <c r="B317" s="290" t="s">
        <v>499</v>
      </c>
      <c r="C317" s="141">
        <v>60</v>
      </c>
      <c r="D317" s="111" t="s">
        <v>352</v>
      </c>
      <c r="E317" s="141">
        <v>35</v>
      </c>
      <c r="F317" s="112">
        <v>10.5</v>
      </c>
      <c r="G317" s="118">
        <v>45.5</v>
      </c>
      <c r="H317" s="114">
        <v>6</v>
      </c>
      <c r="I317" s="114">
        <v>8</v>
      </c>
      <c r="J317" s="114">
        <v>14</v>
      </c>
      <c r="K317" s="114">
        <v>6.370000000000001</v>
      </c>
      <c r="L317" s="114">
        <v>2.5935000000000006</v>
      </c>
      <c r="M317" s="114">
        <v>8.9635000000000016</v>
      </c>
      <c r="N317" s="115">
        <v>3267.81</v>
      </c>
      <c r="O317" s="116">
        <v>54.463499999999996</v>
      </c>
    </row>
    <row r="318" spans="1:15" s="105" customFormat="1" ht="21" x14ac:dyDescent="0.15">
      <c r="A318" s="293" t="s">
        <v>530</v>
      </c>
      <c r="B318" s="290" t="s">
        <v>612</v>
      </c>
      <c r="C318" s="141">
        <v>2</v>
      </c>
      <c r="D318" s="111" t="s">
        <v>352</v>
      </c>
      <c r="E318" s="141">
        <v>150</v>
      </c>
      <c r="F318" s="112">
        <v>45</v>
      </c>
      <c r="G318" s="118">
        <v>195</v>
      </c>
      <c r="H318" s="114">
        <v>6</v>
      </c>
      <c r="I318" s="114">
        <v>8</v>
      </c>
      <c r="J318" s="114">
        <v>14</v>
      </c>
      <c r="K318" s="114">
        <v>27.300000000000004</v>
      </c>
      <c r="L318" s="114">
        <v>11.115000000000002</v>
      </c>
      <c r="M318" s="114">
        <v>38.415000000000006</v>
      </c>
      <c r="N318" s="115">
        <v>466.83</v>
      </c>
      <c r="O318" s="116">
        <v>233.41499999999999</v>
      </c>
    </row>
    <row r="319" spans="1:15" s="105" customFormat="1" ht="21" x14ac:dyDescent="0.15">
      <c r="A319" s="293" t="s">
        <v>531</v>
      </c>
      <c r="B319" s="290" t="s">
        <v>500</v>
      </c>
      <c r="C319" s="141">
        <v>34</v>
      </c>
      <c r="D319" s="111" t="s">
        <v>352</v>
      </c>
      <c r="E319" s="141">
        <v>90</v>
      </c>
      <c r="F319" s="112">
        <v>27</v>
      </c>
      <c r="G319" s="118">
        <v>117</v>
      </c>
      <c r="H319" s="114">
        <v>6</v>
      </c>
      <c r="I319" s="114">
        <v>8</v>
      </c>
      <c r="J319" s="114">
        <v>14</v>
      </c>
      <c r="K319" s="114">
        <v>16.380000000000003</v>
      </c>
      <c r="L319" s="114">
        <v>6.6690000000000005</v>
      </c>
      <c r="M319" s="114">
        <v>23.049000000000003</v>
      </c>
      <c r="N319" s="115">
        <v>4761.67</v>
      </c>
      <c r="O319" s="116">
        <v>140.04911764705884</v>
      </c>
    </row>
    <row r="320" spans="1:15" s="105" customFormat="1" ht="21" x14ac:dyDescent="0.15">
      <c r="A320" s="293" t="s">
        <v>532</v>
      </c>
      <c r="B320" s="290" t="s">
        <v>501</v>
      </c>
      <c r="C320" s="141">
        <v>100</v>
      </c>
      <c r="D320" s="111" t="s">
        <v>352</v>
      </c>
      <c r="E320" s="141">
        <v>50</v>
      </c>
      <c r="F320" s="112">
        <v>15</v>
      </c>
      <c r="G320" s="118">
        <v>65</v>
      </c>
      <c r="H320" s="114">
        <v>6</v>
      </c>
      <c r="I320" s="114">
        <v>8</v>
      </c>
      <c r="J320" s="114">
        <v>14</v>
      </c>
      <c r="K320" s="114">
        <v>9.1000000000000014</v>
      </c>
      <c r="L320" s="114">
        <v>3.7050000000000001</v>
      </c>
      <c r="M320" s="114">
        <v>12.805000000000001</v>
      </c>
      <c r="N320" s="115">
        <v>7780.5</v>
      </c>
      <c r="O320" s="116">
        <v>77.805000000000007</v>
      </c>
    </row>
    <row r="321" spans="1:15" s="105" customFormat="1" ht="21" x14ac:dyDescent="0.15">
      <c r="A321" s="293" t="s">
        <v>533</v>
      </c>
      <c r="B321" s="290" t="s">
        <v>502</v>
      </c>
      <c r="C321" s="141">
        <v>30</v>
      </c>
      <c r="D321" s="111" t="s">
        <v>352</v>
      </c>
      <c r="E321" s="141">
        <v>30</v>
      </c>
      <c r="F321" s="112">
        <v>9</v>
      </c>
      <c r="G321" s="118">
        <v>39</v>
      </c>
      <c r="H321" s="114">
        <v>6</v>
      </c>
      <c r="I321" s="114">
        <v>8</v>
      </c>
      <c r="J321" s="114">
        <v>14</v>
      </c>
      <c r="K321" s="114">
        <v>5.4600000000000009</v>
      </c>
      <c r="L321" s="114">
        <v>2.2230000000000003</v>
      </c>
      <c r="M321" s="114">
        <v>7.6830000000000016</v>
      </c>
      <c r="N321" s="115">
        <v>1400.49</v>
      </c>
      <c r="O321" s="116">
        <v>46.683</v>
      </c>
    </row>
    <row r="322" spans="1:15" s="105" customFormat="1" ht="21" x14ac:dyDescent="0.15">
      <c r="A322" s="293" t="s">
        <v>613</v>
      </c>
      <c r="B322" s="290" t="s">
        <v>503</v>
      </c>
      <c r="C322" s="141">
        <v>35</v>
      </c>
      <c r="D322" s="111" t="s">
        <v>352</v>
      </c>
      <c r="E322" s="269">
        <v>50</v>
      </c>
      <c r="F322" s="112">
        <v>15</v>
      </c>
      <c r="G322" s="118">
        <v>65</v>
      </c>
      <c r="H322" s="114">
        <v>6</v>
      </c>
      <c r="I322" s="114">
        <v>8</v>
      </c>
      <c r="J322" s="114">
        <v>14</v>
      </c>
      <c r="K322" s="114">
        <v>9.1000000000000014</v>
      </c>
      <c r="L322" s="114">
        <v>3.7050000000000001</v>
      </c>
      <c r="M322" s="114">
        <v>12.805000000000001</v>
      </c>
      <c r="N322" s="115">
        <v>2723.18</v>
      </c>
      <c r="O322" s="116">
        <v>77.805142857142854</v>
      </c>
    </row>
    <row r="323" spans="1:15" s="105" customFormat="1" ht="21" x14ac:dyDescent="0.15">
      <c r="A323" s="293" t="s">
        <v>619</v>
      </c>
      <c r="B323" s="285" t="s">
        <v>812</v>
      </c>
      <c r="C323" s="141">
        <v>40</v>
      </c>
      <c r="D323" s="270" t="s">
        <v>352</v>
      </c>
      <c r="E323" s="141">
        <v>1500</v>
      </c>
      <c r="F323" s="112">
        <v>450</v>
      </c>
      <c r="G323" s="118">
        <v>1950</v>
      </c>
      <c r="H323" s="114">
        <v>6</v>
      </c>
      <c r="I323" s="114">
        <v>8</v>
      </c>
      <c r="J323" s="114">
        <v>14</v>
      </c>
      <c r="K323" s="114">
        <v>273</v>
      </c>
      <c r="L323" s="114">
        <v>111.15</v>
      </c>
      <c r="M323" s="114">
        <v>384.15</v>
      </c>
      <c r="N323" s="115">
        <v>93366</v>
      </c>
      <c r="O323" s="116">
        <v>2334.15</v>
      </c>
    </row>
    <row r="324" spans="1:15" s="105" customFormat="1" ht="21" x14ac:dyDescent="0.15">
      <c r="A324" s="293" t="s">
        <v>620</v>
      </c>
      <c r="B324" s="285" t="s">
        <v>813</v>
      </c>
      <c r="C324" s="141">
        <v>15</v>
      </c>
      <c r="D324" s="270" t="s">
        <v>352</v>
      </c>
      <c r="E324" s="141">
        <v>1000</v>
      </c>
      <c r="F324" s="112">
        <v>300</v>
      </c>
      <c r="G324" s="118">
        <v>1300</v>
      </c>
      <c r="H324" s="114">
        <v>6</v>
      </c>
      <c r="I324" s="114">
        <v>8</v>
      </c>
      <c r="J324" s="114">
        <v>14</v>
      </c>
      <c r="K324" s="114">
        <v>182.00000000000003</v>
      </c>
      <c r="L324" s="114">
        <v>74.100000000000009</v>
      </c>
      <c r="M324" s="114">
        <v>256.10000000000002</v>
      </c>
      <c r="N324" s="115">
        <v>23341.5</v>
      </c>
      <c r="O324" s="116">
        <v>1556.1</v>
      </c>
    </row>
    <row r="325" spans="1:15" s="105" customFormat="1" ht="21" x14ac:dyDescent="0.15">
      <c r="A325" s="293" t="s">
        <v>621</v>
      </c>
      <c r="B325" s="290" t="s">
        <v>349</v>
      </c>
      <c r="C325" s="141">
        <v>1</v>
      </c>
      <c r="D325" s="270" t="s">
        <v>5</v>
      </c>
      <c r="E325" s="112">
        <v>10000</v>
      </c>
      <c r="F325" s="112">
        <v>3000</v>
      </c>
      <c r="G325" s="118">
        <v>13000</v>
      </c>
      <c r="H325" s="114">
        <v>6</v>
      </c>
      <c r="I325" s="114">
        <v>8</v>
      </c>
      <c r="J325" s="114">
        <v>14</v>
      </c>
      <c r="K325" s="114">
        <v>1820.0000000000002</v>
      </c>
      <c r="L325" s="114">
        <v>741</v>
      </c>
      <c r="M325" s="114">
        <v>2561</v>
      </c>
      <c r="N325" s="115">
        <v>15561</v>
      </c>
      <c r="O325" s="116">
        <v>15561</v>
      </c>
    </row>
    <row r="326" spans="1:15" s="105" customFormat="1" ht="21" x14ac:dyDescent="0.25">
      <c r="A326" s="198"/>
      <c r="B326" s="203"/>
      <c r="C326" s="112"/>
      <c r="D326" s="111"/>
      <c r="E326" s="112"/>
      <c r="F326" s="112"/>
      <c r="G326" s="118"/>
      <c r="H326" s="114"/>
      <c r="I326" s="114"/>
      <c r="J326" s="114"/>
      <c r="K326" s="114"/>
      <c r="L326" s="114"/>
      <c r="M326" s="191" t="s">
        <v>343</v>
      </c>
      <c r="N326" s="184">
        <v>445550.34999999986</v>
      </c>
      <c r="O326" s="116"/>
    </row>
    <row r="327" spans="1:15" s="105" customFormat="1" ht="21" x14ac:dyDescent="0.15">
      <c r="A327" s="198">
        <v>11.2</v>
      </c>
      <c r="B327" s="272" t="s">
        <v>507</v>
      </c>
      <c r="C327" s="141"/>
      <c r="D327" s="270"/>
      <c r="E327" s="112"/>
      <c r="F327" s="112"/>
      <c r="G327" s="266"/>
      <c r="H327" s="267"/>
      <c r="I327" s="267"/>
      <c r="J327" s="267"/>
      <c r="K327" s="267"/>
      <c r="L327" s="267"/>
      <c r="M327" s="267"/>
      <c r="N327" s="268"/>
      <c r="O327" s="116"/>
    </row>
    <row r="328" spans="1:15" s="105" customFormat="1" ht="21" x14ac:dyDescent="0.25">
      <c r="A328" s="293" t="s">
        <v>534</v>
      </c>
      <c r="B328" s="306" t="s">
        <v>614</v>
      </c>
      <c r="C328" s="141">
        <v>56</v>
      </c>
      <c r="D328" s="270" t="s">
        <v>98</v>
      </c>
      <c r="E328" s="112">
        <v>1550</v>
      </c>
      <c r="F328" s="112">
        <v>465</v>
      </c>
      <c r="G328" s="118">
        <v>2015</v>
      </c>
      <c r="H328" s="114">
        <v>6</v>
      </c>
      <c r="I328" s="114">
        <v>8</v>
      </c>
      <c r="J328" s="114">
        <v>14</v>
      </c>
      <c r="K328" s="114">
        <v>282.10000000000002</v>
      </c>
      <c r="L328" s="114">
        <v>114.855</v>
      </c>
      <c r="M328" s="114">
        <v>396.95500000000004</v>
      </c>
      <c r="N328" s="115">
        <v>135069.48000000001</v>
      </c>
      <c r="O328" s="116">
        <v>2411.9550000000004</v>
      </c>
    </row>
    <row r="329" spans="1:15" s="105" customFormat="1" ht="21" x14ac:dyDescent="0.25">
      <c r="A329" s="293" t="s">
        <v>535</v>
      </c>
      <c r="B329" s="306" t="s">
        <v>615</v>
      </c>
      <c r="C329" s="141">
        <v>140</v>
      </c>
      <c r="D329" s="270" t="s">
        <v>98</v>
      </c>
      <c r="E329" s="112">
        <v>1050</v>
      </c>
      <c r="F329" s="112">
        <v>315</v>
      </c>
      <c r="G329" s="118">
        <v>1365</v>
      </c>
      <c r="H329" s="114">
        <v>6</v>
      </c>
      <c r="I329" s="114">
        <v>8</v>
      </c>
      <c r="J329" s="114">
        <v>14</v>
      </c>
      <c r="K329" s="114">
        <v>191.10000000000002</v>
      </c>
      <c r="L329" s="114">
        <v>77.805000000000007</v>
      </c>
      <c r="M329" s="114">
        <v>268.90500000000003</v>
      </c>
      <c r="N329" s="115">
        <v>228746.7</v>
      </c>
      <c r="O329" s="116">
        <v>1633.905</v>
      </c>
    </row>
    <row r="330" spans="1:15" s="105" customFormat="1" ht="21" x14ac:dyDescent="0.25">
      <c r="A330" s="293" t="s">
        <v>536</v>
      </c>
      <c r="B330" s="306" t="s">
        <v>622</v>
      </c>
      <c r="C330" s="141">
        <v>40</v>
      </c>
      <c r="D330" s="270" t="s">
        <v>98</v>
      </c>
      <c r="E330" s="112">
        <v>475</v>
      </c>
      <c r="F330" s="112">
        <v>142.5</v>
      </c>
      <c r="G330" s="118">
        <v>617.5</v>
      </c>
      <c r="H330" s="114">
        <v>6</v>
      </c>
      <c r="I330" s="114">
        <v>8</v>
      </c>
      <c r="J330" s="114">
        <v>14</v>
      </c>
      <c r="K330" s="114">
        <v>86.45</v>
      </c>
      <c r="L330" s="114">
        <v>35.197500000000005</v>
      </c>
      <c r="M330" s="114">
        <v>121.64750000000001</v>
      </c>
      <c r="N330" s="115">
        <v>29565.9</v>
      </c>
      <c r="O330" s="116">
        <v>739.14750000000004</v>
      </c>
    </row>
    <row r="331" spans="1:15" s="105" customFormat="1" ht="21" x14ac:dyDescent="0.25">
      <c r="A331" s="293" t="s">
        <v>537</v>
      </c>
      <c r="B331" s="306" t="s">
        <v>623</v>
      </c>
      <c r="C331" s="141">
        <v>56</v>
      </c>
      <c r="D331" s="270" t="s">
        <v>98</v>
      </c>
      <c r="E331" s="112">
        <v>340</v>
      </c>
      <c r="F331" s="112">
        <v>102</v>
      </c>
      <c r="G331" s="118">
        <v>442</v>
      </c>
      <c r="H331" s="114">
        <v>6</v>
      </c>
      <c r="I331" s="114">
        <v>8</v>
      </c>
      <c r="J331" s="114">
        <v>14</v>
      </c>
      <c r="K331" s="114">
        <v>61.88</v>
      </c>
      <c r="L331" s="114">
        <v>25.194000000000003</v>
      </c>
      <c r="M331" s="114">
        <v>87.074000000000012</v>
      </c>
      <c r="N331" s="115">
        <v>29628.14</v>
      </c>
      <c r="O331" s="116">
        <v>529.07392857142861</v>
      </c>
    </row>
    <row r="332" spans="1:15" s="105" customFormat="1" ht="21" x14ac:dyDescent="0.25">
      <c r="A332" s="293" t="s">
        <v>624</v>
      </c>
      <c r="B332" s="306" t="s">
        <v>504</v>
      </c>
      <c r="C332" s="141">
        <v>284</v>
      </c>
      <c r="D332" s="270" t="s">
        <v>98</v>
      </c>
      <c r="E332" s="112">
        <v>200</v>
      </c>
      <c r="F332" s="112">
        <v>60</v>
      </c>
      <c r="G332" s="118">
        <v>260</v>
      </c>
      <c r="H332" s="114">
        <v>6</v>
      </c>
      <c r="I332" s="114">
        <v>8</v>
      </c>
      <c r="J332" s="114">
        <v>14</v>
      </c>
      <c r="K332" s="114">
        <v>36.400000000000006</v>
      </c>
      <c r="L332" s="114">
        <v>14.82</v>
      </c>
      <c r="M332" s="114">
        <v>51.220000000000006</v>
      </c>
      <c r="N332" s="115">
        <v>88386.48</v>
      </c>
      <c r="O332" s="116">
        <v>311.21999999999997</v>
      </c>
    </row>
    <row r="333" spans="1:15" s="105" customFormat="1" ht="21" x14ac:dyDescent="0.25">
      <c r="A333" s="293" t="s">
        <v>625</v>
      </c>
      <c r="B333" s="306" t="s">
        <v>505</v>
      </c>
      <c r="C333" s="141">
        <v>24</v>
      </c>
      <c r="D333" s="270" t="s">
        <v>98</v>
      </c>
      <c r="E333" s="112">
        <v>130</v>
      </c>
      <c r="F333" s="112">
        <v>39</v>
      </c>
      <c r="G333" s="118">
        <v>169</v>
      </c>
      <c r="H333" s="114">
        <v>6</v>
      </c>
      <c r="I333" s="114">
        <v>8</v>
      </c>
      <c r="J333" s="114">
        <v>14</v>
      </c>
      <c r="K333" s="114">
        <v>23.660000000000004</v>
      </c>
      <c r="L333" s="114">
        <v>9.6330000000000009</v>
      </c>
      <c r="M333" s="114">
        <v>33.293000000000006</v>
      </c>
      <c r="N333" s="115">
        <v>4855.03</v>
      </c>
      <c r="O333" s="116">
        <v>202.29291666666666</v>
      </c>
    </row>
    <row r="334" spans="1:15" s="6" customFormat="1" ht="21" outlineLevel="1" x14ac:dyDescent="0.15">
      <c r="A334" s="293" t="s">
        <v>626</v>
      </c>
      <c r="B334" s="215" t="s">
        <v>639</v>
      </c>
      <c r="C334" s="156">
        <v>2</v>
      </c>
      <c r="D334" s="163" t="s">
        <v>1</v>
      </c>
      <c r="E334" s="291">
        <v>8000</v>
      </c>
      <c r="F334" s="112">
        <v>2400</v>
      </c>
      <c r="G334" s="292">
        <v>10400</v>
      </c>
      <c r="H334" s="114">
        <v>6</v>
      </c>
      <c r="I334" s="114">
        <v>8</v>
      </c>
      <c r="J334" s="291">
        <v>14</v>
      </c>
      <c r="K334" s="291">
        <v>1456.0000000000002</v>
      </c>
      <c r="L334" s="291">
        <v>592.80000000000007</v>
      </c>
      <c r="M334" s="291">
        <v>2048.8000000000002</v>
      </c>
      <c r="N334" s="115">
        <v>24897.599999999999</v>
      </c>
      <c r="O334" s="301">
        <v>12448.8</v>
      </c>
    </row>
    <row r="335" spans="1:15" s="6" customFormat="1" ht="21" outlineLevel="1" x14ac:dyDescent="0.15">
      <c r="A335" s="293" t="s">
        <v>641</v>
      </c>
      <c r="B335" s="215" t="s">
        <v>640</v>
      </c>
      <c r="C335" s="156">
        <v>6</v>
      </c>
      <c r="D335" s="163" t="s">
        <v>1</v>
      </c>
      <c r="E335" s="291">
        <v>5000</v>
      </c>
      <c r="F335" s="112">
        <v>1500</v>
      </c>
      <c r="G335" s="292">
        <v>6500</v>
      </c>
      <c r="H335" s="114">
        <v>6</v>
      </c>
      <c r="I335" s="114">
        <v>8</v>
      </c>
      <c r="J335" s="291">
        <v>14</v>
      </c>
      <c r="K335" s="291">
        <v>910.00000000000011</v>
      </c>
      <c r="L335" s="291">
        <v>370.5</v>
      </c>
      <c r="M335" s="291">
        <v>1280.5</v>
      </c>
      <c r="N335" s="115">
        <v>46683</v>
      </c>
      <c r="O335" s="301">
        <v>7780.5</v>
      </c>
    </row>
    <row r="336" spans="1:15" s="105" customFormat="1" ht="21" x14ac:dyDescent="0.15">
      <c r="A336" s="293" t="s">
        <v>642</v>
      </c>
      <c r="B336" s="290" t="s">
        <v>888</v>
      </c>
      <c r="C336" s="141">
        <v>1</v>
      </c>
      <c r="D336" s="270" t="s">
        <v>5</v>
      </c>
      <c r="E336" s="112">
        <v>10000</v>
      </c>
      <c r="F336" s="112">
        <v>5000</v>
      </c>
      <c r="G336" s="118">
        <v>15000</v>
      </c>
      <c r="H336" s="114">
        <v>6</v>
      </c>
      <c r="I336" s="114">
        <v>8</v>
      </c>
      <c r="J336" s="114">
        <v>14</v>
      </c>
      <c r="K336" s="114">
        <v>2100</v>
      </c>
      <c r="L336" s="114">
        <v>855</v>
      </c>
      <c r="M336" s="114">
        <v>2955</v>
      </c>
      <c r="N336" s="115">
        <v>17955</v>
      </c>
      <c r="O336" s="116">
        <v>17955</v>
      </c>
    </row>
    <row r="337" spans="1:18" s="105" customFormat="1" ht="21" x14ac:dyDescent="0.25">
      <c r="A337" s="198"/>
      <c r="B337" s="203"/>
      <c r="C337" s="112"/>
      <c r="D337" s="111"/>
      <c r="E337" s="112"/>
      <c r="F337" s="112"/>
      <c r="G337" s="118"/>
      <c r="H337" s="114"/>
      <c r="I337" s="114"/>
      <c r="J337" s="114"/>
      <c r="K337" s="114"/>
      <c r="L337" s="114"/>
      <c r="M337" s="191" t="s">
        <v>343</v>
      </c>
      <c r="N337" s="184">
        <v>605787.33000000007</v>
      </c>
      <c r="O337" s="116"/>
    </row>
    <row r="338" spans="1:18" s="105" customFormat="1" ht="21" x14ac:dyDescent="0.15">
      <c r="A338" s="198">
        <v>11.299999999999999</v>
      </c>
      <c r="B338" s="272" t="s">
        <v>351</v>
      </c>
      <c r="C338" s="141"/>
      <c r="D338" s="111"/>
      <c r="E338" s="112"/>
      <c r="F338" s="112"/>
      <c r="G338" s="266"/>
      <c r="H338" s="267"/>
      <c r="I338" s="267"/>
      <c r="J338" s="267"/>
      <c r="K338" s="267"/>
      <c r="L338" s="267"/>
      <c r="M338" s="267"/>
      <c r="N338" s="268"/>
      <c r="O338" s="116"/>
    </row>
    <row r="339" spans="1:18" s="142" customFormat="1" ht="40" x14ac:dyDescent="0.25">
      <c r="A339" s="293" t="s">
        <v>538</v>
      </c>
      <c r="B339" s="154" t="s">
        <v>814</v>
      </c>
      <c r="C339" s="156">
        <v>1</v>
      </c>
      <c r="D339" s="141" t="s">
        <v>1</v>
      </c>
      <c r="E339" s="156">
        <v>38000</v>
      </c>
      <c r="F339" s="156">
        <v>5500</v>
      </c>
      <c r="G339" s="159">
        <v>43500</v>
      </c>
      <c r="H339" s="159">
        <v>6</v>
      </c>
      <c r="I339" s="161">
        <v>8</v>
      </c>
      <c r="J339" s="159">
        <v>14</v>
      </c>
      <c r="K339" s="159">
        <v>6090.0000000000009</v>
      </c>
      <c r="L339" s="159">
        <v>2479.5</v>
      </c>
      <c r="M339" s="159">
        <v>8569.5</v>
      </c>
      <c r="N339" s="115">
        <v>52069.5</v>
      </c>
      <c r="O339" s="162">
        <v>52069.5</v>
      </c>
    </row>
    <row r="340" spans="1:18" s="142" customFormat="1" ht="40" x14ac:dyDescent="0.25">
      <c r="A340" s="293" t="s">
        <v>539</v>
      </c>
      <c r="B340" s="154" t="s">
        <v>815</v>
      </c>
      <c r="C340" s="156">
        <v>1</v>
      </c>
      <c r="D340" s="141" t="s">
        <v>1</v>
      </c>
      <c r="E340" s="156">
        <v>7500</v>
      </c>
      <c r="F340" s="156">
        <v>1200</v>
      </c>
      <c r="G340" s="159">
        <v>8700</v>
      </c>
      <c r="H340" s="159">
        <v>6</v>
      </c>
      <c r="I340" s="161">
        <v>8</v>
      </c>
      <c r="J340" s="159">
        <v>14</v>
      </c>
      <c r="K340" s="159">
        <v>1218.0000000000002</v>
      </c>
      <c r="L340" s="159">
        <v>495.90000000000003</v>
      </c>
      <c r="M340" s="159">
        <v>1713.9000000000003</v>
      </c>
      <c r="N340" s="115">
        <v>10413.9</v>
      </c>
      <c r="O340" s="162">
        <v>10413.9</v>
      </c>
    </row>
    <row r="341" spans="1:18" s="142" customFormat="1" ht="40" x14ac:dyDescent="0.25">
      <c r="A341" s="293" t="s">
        <v>540</v>
      </c>
      <c r="B341" s="154" t="s">
        <v>816</v>
      </c>
      <c r="C341" s="156">
        <v>1</v>
      </c>
      <c r="D341" s="141" t="s">
        <v>1</v>
      </c>
      <c r="E341" s="156">
        <v>10000</v>
      </c>
      <c r="F341" s="156">
        <v>1500</v>
      </c>
      <c r="G341" s="159">
        <v>11500</v>
      </c>
      <c r="H341" s="159">
        <v>6</v>
      </c>
      <c r="I341" s="161">
        <v>8</v>
      </c>
      <c r="J341" s="159">
        <v>14</v>
      </c>
      <c r="K341" s="159">
        <v>1610.0000000000002</v>
      </c>
      <c r="L341" s="159">
        <v>655.5</v>
      </c>
      <c r="M341" s="159">
        <v>2265.5</v>
      </c>
      <c r="N341" s="115">
        <v>13765.5</v>
      </c>
      <c r="O341" s="162">
        <v>13765.5</v>
      </c>
    </row>
    <row r="342" spans="1:18" s="142" customFormat="1" ht="40" x14ac:dyDescent="0.25">
      <c r="A342" s="293" t="s">
        <v>541</v>
      </c>
      <c r="B342" s="154" t="s">
        <v>817</v>
      </c>
      <c r="C342" s="156">
        <v>1</v>
      </c>
      <c r="D342" s="141" t="s">
        <v>1</v>
      </c>
      <c r="E342" s="156">
        <v>3500</v>
      </c>
      <c r="F342" s="156">
        <v>1500</v>
      </c>
      <c r="G342" s="159">
        <v>5000</v>
      </c>
      <c r="H342" s="159">
        <v>6</v>
      </c>
      <c r="I342" s="161">
        <v>8</v>
      </c>
      <c r="J342" s="159">
        <v>14</v>
      </c>
      <c r="K342" s="159">
        <v>700.00000000000011</v>
      </c>
      <c r="L342" s="159">
        <v>285</v>
      </c>
      <c r="M342" s="159">
        <v>985.00000000000011</v>
      </c>
      <c r="N342" s="115">
        <v>5985</v>
      </c>
      <c r="O342" s="162">
        <v>5985</v>
      </c>
    </row>
    <row r="343" spans="1:18" s="142" customFormat="1" ht="40" x14ac:dyDescent="0.25">
      <c r="A343" s="293" t="s">
        <v>542</v>
      </c>
      <c r="B343" s="154" t="s">
        <v>818</v>
      </c>
      <c r="C343" s="156">
        <v>1</v>
      </c>
      <c r="D343" s="141" t="s">
        <v>1</v>
      </c>
      <c r="E343" s="156">
        <v>15000</v>
      </c>
      <c r="F343" s="156">
        <v>3000</v>
      </c>
      <c r="G343" s="159">
        <v>18000</v>
      </c>
      <c r="H343" s="159">
        <v>6</v>
      </c>
      <c r="I343" s="161">
        <v>8</v>
      </c>
      <c r="J343" s="159">
        <v>14</v>
      </c>
      <c r="K343" s="159">
        <v>2520.0000000000005</v>
      </c>
      <c r="L343" s="159">
        <v>1026</v>
      </c>
      <c r="M343" s="159">
        <v>3546.0000000000005</v>
      </c>
      <c r="N343" s="115">
        <v>21546</v>
      </c>
      <c r="O343" s="162">
        <v>21546</v>
      </c>
    </row>
    <row r="344" spans="1:18" s="142" customFormat="1" ht="40" x14ac:dyDescent="0.25">
      <c r="A344" s="293" t="s">
        <v>543</v>
      </c>
      <c r="B344" s="154" t="s">
        <v>819</v>
      </c>
      <c r="C344" s="156">
        <v>10</v>
      </c>
      <c r="D344" s="141" t="s">
        <v>1</v>
      </c>
      <c r="E344" s="156">
        <v>8500</v>
      </c>
      <c r="F344" s="156">
        <v>2500</v>
      </c>
      <c r="G344" s="159">
        <v>11000</v>
      </c>
      <c r="H344" s="159">
        <v>6</v>
      </c>
      <c r="I344" s="161">
        <v>8</v>
      </c>
      <c r="J344" s="159">
        <v>14</v>
      </c>
      <c r="K344" s="159">
        <v>1540.0000000000002</v>
      </c>
      <c r="L344" s="159">
        <v>627</v>
      </c>
      <c r="M344" s="159">
        <v>2167</v>
      </c>
      <c r="N344" s="115">
        <v>131670</v>
      </c>
      <c r="O344" s="162">
        <v>13167</v>
      </c>
    </row>
    <row r="345" spans="1:18" s="6" customFormat="1" ht="40" x14ac:dyDescent="0.15">
      <c r="A345" s="293" t="s">
        <v>544</v>
      </c>
      <c r="B345" s="217" t="s">
        <v>709</v>
      </c>
      <c r="C345" s="159">
        <v>10</v>
      </c>
      <c r="D345" s="141" t="s">
        <v>1</v>
      </c>
      <c r="E345" s="163">
        <v>6000</v>
      </c>
      <c r="F345" s="141">
        <v>1500</v>
      </c>
      <c r="G345" s="266">
        <v>7500</v>
      </c>
      <c r="H345" s="159">
        <v>6</v>
      </c>
      <c r="I345" s="161">
        <v>8</v>
      </c>
      <c r="J345" s="314">
        <v>14</v>
      </c>
      <c r="K345" s="314">
        <v>1050</v>
      </c>
      <c r="L345" s="314">
        <v>427.5</v>
      </c>
      <c r="M345" s="314">
        <v>1477.5</v>
      </c>
      <c r="N345" s="315">
        <v>89775</v>
      </c>
      <c r="O345" s="316">
        <v>8977.5</v>
      </c>
      <c r="P345" s="158"/>
      <c r="Q345" s="145"/>
      <c r="R345" s="145"/>
    </row>
    <row r="346" spans="1:18" s="6" customFormat="1" ht="40" x14ac:dyDescent="0.15">
      <c r="A346" s="293" t="s">
        <v>545</v>
      </c>
      <c r="B346" s="217" t="s">
        <v>710</v>
      </c>
      <c r="C346" s="156">
        <v>10</v>
      </c>
      <c r="D346" s="163" t="s">
        <v>1</v>
      </c>
      <c r="E346" s="284">
        <v>6000</v>
      </c>
      <c r="F346" s="156">
        <v>1500</v>
      </c>
      <c r="G346" s="159">
        <v>7500</v>
      </c>
      <c r="H346" s="159">
        <v>6</v>
      </c>
      <c r="I346" s="161">
        <v>8</v>
      </c>
      <c r="J346" s="159">
        <v>14</v>
      </c>
      <c r="K346" s="159">
        <v>1050</v>
      </c>
      <c r="L346" s="159">
        <v>427.5</v>
      </c>
      <c r="M346" s="159">
        <v>1477.5</v>
      </c>
      <c r="N346" s="115">
        <v>89775</v>
      </c>
      <c r="O346" s="162">
        <v>8977.5</v>
      </c>
    </row>
    <row r="347" spans="1:18" s="105" customFormat="1" ht="60" x14ac:dyDescent="0.15">
      <c r="A347" s="293" t="s">
        <v>556</v>
      </c>
      <c r="B347" s="215" t="s">
        <v>387</v>
      </c>
      <c r="C347" s="141">
        <v>44</v>
      </c>
      <c r="D347" s="111" t="s">
        <v>1</v>
      </c>
      <c r="E347" s="112">
        <v>8500</v>
      </c>
      <c r="F347" s="112">
        <v>2500</v>
      </c>
      <c r="G347" s="118">
        <v>11000</v>
      </c>
      <c r="H347" s="114">
        <v>6</v>
      </c>
      <c r="I347" s="114">
        <v>8</v>
      </c>
      <c r="J347" s="114">
        <v>14</v>
      </c>
      <c r="K347" s="114">
        <v>1540.0000000000002</v>
      </c>
      <c r="L347" s="114">
        <v>627</v>
      </c>
      <c r="M347" s="114">
        <v>2167</v>
      </c>
      <c r="N347" s="115">
        <v>579348</v>
      </c>
      <c r="O347" s="116">
        <v>13167</v>
      </c>
    </row>
    <row r="348" spans="1:18" s="105" customFormat="1" ht="40" x14ac:dyDescent="0.15">
      <c r="A348" s="293" t="s">
        <v>557</v>
      </c>
      <c r="B348" s="318" t="s">
        <v>809</v>
      </c>
      <c r="C348" s="141">
        <v>27</v>
      </c>
      <c r="D348" s="111" t="s">
        <v>1</v>
      </c>
      <c r="E348" s="112">
        <v>7500</v>
      </c>
      <c r="F348" s="112">
        <v>2000</v>
      </c>
      <c r="G348" s="118">
        <v>9500</v>
      </c>
      <c r="H348" s="114">
        <v>6</v>
      </c>
      <c r="I348" s="114">
        <v>8</v>
      </c>
      <c r="J348" s="114">
        <v>14</v>
      </c>
      <c r="K348" s="114">
        <v>1330.0000000000002</v>
      </c>
      <c r="L348" s="114">
        <v>541.5</v>
      </c>
      <c r="M348" s="114">
        <v>1871.5000000000002</v>
      </c>
      <c r="N348" s="115">
        <v>307030.5</v>
      </c>
      <c r="O348" s="116">
        <v>11371.5</v>
      </c>
    </row>
    <row r="349" spans="1:18" s="6" customFormat="1" ht="40" x14ac:dyDescent="0.15">
      <c r="A349" s="293" t="s">
        <v>558</v>
      </c>
      <c r="B349" s="290" t="s">
        <v>808</v>
      </c>
      <c r="C349" s="159">
        <v>3</v>
      </c>
      <c r="D349" s="141" t="s">
        <v>1</v>
      </c>
      <c r="E349" s="163">
        <v>3000</v>
      </c>
      <c r="F349" s="141">
        <v>1000</v>
      </c>
      <c r="G349" s="266">
        <v>4000</v>
      </c>
      <c r="H349" s="159">
        <v>6</v>
      </c>
      <c r="I349" s="161">
        <v>8</v>
      </c>
      <c r="J349" s="314">
        <v>14</v>
      </c>
      <c r="K349" s="314">
        <v>560</v>
      </c>
      <c r="L349" s="314">
        <v>228</v>
      </c>
      <c r="M349" s="314">
        <v>788</v>
      </c>
      <c r="N349" s="315">
        <v>14364</v>
      </c>
      <c r="O349" s="316">
        <v>4788</v>
      </c>
      <c r="P349" s="158"/>
      <c r="Q349" s="145"/>
      <c r="R349" s="145"/>
    </row>
    <row r="350" spans="1:18" s="105" customFormat="1" ht="40" x14ac:dyDescent="0.15">
      <c r="A350" s="293" t="s">
        <v>559</v>
      </c>
      <c r="B350" s="318" t="s">
        <v>810</v>
      </c>
      <c r="C350" s="141">
        <v>12</v>
      </c>
      <c r="D350" s="111" t="s">
        <v>1</v>
      </c>
      <c r="E350" s="141">
        <v>3500</v>
      </c>
      <c r="F350" s="141">
        <v>1500</v>
      </c>
      <c r="G350" s="118">
        <v>5000</v>
      </c>
      <c r="H350" s="114">
        <v>6</v>
      </c>
      <c r="I350" s="114">
        <v>8</v>
      </c>
      <c r="J350" s="114">
        <v>14</v>
      </c>
      <c r="K350" s="114">
        <v>700.00000000000011</v>
      </c>
      <c r="L350" s="114">
        <v>285</v>
      </c>
      <c r="M350" s="114">
        <v>985.00000000000011</v>
      </c>
      <c r="N350" s="115">
        <v>71820</v>
      </c>
      <c r="O350" s="116">
        <v>5985</v>
      </c>
    </row>
    <row r="351" spans="1:18" s="6" customFormat="1" ht="20" x14ac:dyDescent="0.15">
      <c r="A351" s="293" t="s">
        <v>627</v>
      </c>
      <c r="B351" s="285" t="s">
        <v>555</v>
      </c>
      <c r="C351" s="163">
        <v>9</v>
      </c>
      <c r="D351" s="163" t="s">
        <v>98</v>
      </c>
      <c r="E351" s="163">
        <v>350</v>
      </c>
      <c r="F351" s="141">
        <v>87.5</v>
      </c>
      <c r="G351" s="159">
        <v>437.5</v>
      </c>
      <c r="H351" s="159">
        <v>6</v>
      </c>
      <c r="I351" s="161">
        <v>8</v>
      </c>
      <c r="J351" s="159">
        <v>14</v>
      </c>
      <c r="K351" s="159">
        <v>61.250000000000007</v>
      </c>
      <c r="L351" s="159">
        <v>24.9375</v>
      </c>
      <c r="M351" s="159">
        <v>86.1875</v>
      </c>
      <c r="N351" s="115">
        <v>4713.1899999999996</v>
      </c>
      <c r="O351" s="162">
        <v>523.68777777777768</v>
      </c>
    </row>
    <row r="352" spans="1:18" s="105" customFormat="1" ht="21" x14ac:dyDescent="0.15">
      <c r="A352" s="293" t="s">
        <v>708</v>
      </c>
      <c r="B352" s="215" t="s">
        <v>508</v>
      </c>
      <c r="C352" s="141">
        <v>34</v>
      </c>
      <c r="D352" s="111" t="s">
        <v>1</v>
      </c>
      <c r="E352" s="141">
        <v>250</v>
      </c>
      <c r="F352" s="141">
        <v>50</v>
      </c>
      <c r="G352" s="118">
        <v>300</v>
      </c>
      <c r="H352" s="114">
        <v>6</v>
      </c>
      <c r="I352" s="114">
        <v>8</v>
      </c>
      <c r="J352" s="114">
        <v>14</v>
      </c>
      <c r="K352" s="114">
        <v>42.000000000000007</v>
      </c>
      <c r="L352" s="114">
        <v>17.100000000000001</v>
      </c>
      <c r="M352" s="114">
        <v>59.100000000000009</v>
      </c>
      <c r="N352" s="115">
        <v>12209.4</v>
      </c>
      <c r="O352" s="116">
        <v>359.09999999999997</v>
      </c>
    </row>
    <row r="353" spans="1:15" s="105" customFormat="1" ht="21" x14ac:dyDescent="0.25">
      <c r="A353" s="198"/>
      <c r="B353" s="203"/>
      <c r="C353" s="112"/>
      <c r="D353" s="111"/>
      <c r="E353" s="112"/>
      <c r="F353" s="112"/>
      <c r="G353" s="118"/>
      <c r="H353" s="114"/>
      <c r="I353" s="114"/>
      <c r="J353" s="114"/>
      <c r="K353" s="114"/>
      <c r="L353" s="114"/>
      <c r="M353" s="191" t="s">
        <v>343</v>
      </c>
      <c r="N353" s="184">
        <v>1404484.9899999998</v>
      </c>
      <c r="O353" s="116"/>
    </row>
    <row r="354" spans="1:15" s="6" customFormat="1" ht="20" x14ac:dyDescent="0.25">
      <c r="A354" s="323">
        <v>11.399999999999999</v>
      </c>
      <c r="B354" s="286" t="s">
        <v>629</v>
      </c>
      <c r="C354" s="283"/>
      <c r="D354" s="141"/>
      <c r="E354" s="156"/>
      <c r="F354" s="156"/>
      <c r="G354" s="267"/>
      <c r="H354" s="267"/>
      <c r="I354" s="267"/>
      <c r="J354" s="267"/>
      <c r="K354" s="267"/>
      <c r="L354" s="267"/>
      <c r="M354" s="267"/>
      <c r="N354" s="115"/>
      <c r="O354" s="157"/>
    </row>
    <row r="355" spans="1:15" s="6" customFormat="1" ht="20" x14ac:dyDescent="0.25">
      <c r="A355" s="324" t="s">
        <v>643</v>
      </c>
      <c r="B355" s="154" t="s">
        <v>417</v>
      </c>
      <c r="C355" s="283">
        <v>10</v>
      </c>
      <c r="D355" s="111" t="s">
        <v>637</v>
      </c>
      <c r="E355" s="156">
        <v>0</v>
      </c>
      <c r="F355" s="156">
        <v>200</v>
      </c>
      <c r="G355" s="267">
        <v>200</v>
      </c>
      <c r="H355" s="114">
        <v>6</v>
      </c>
      <c r="I355" s="114">
        <v>8</v>
      </c>
      <c r="J355" s="267">
        <v>14</v>
      </c>
      <c r="K355" s="267">
        <v>28.000000000000004</v>
      </c>
      <c r="L355" s="267">
        <v>11.4</v>
      </c>
      <c r="M355" s="267">
        <v>39.400000000000006</v>
      </c>
      <c r="N355" s="115">
        <v>2394</v>
      </c>
      <c r="O355" s="157">
        <v>239.4</v>
      </c>
    </row>
    <row r="356" spans="1:15" s="6" customFormat="1" ht="21" x14ac:dyDescent="0.15">
      <c r="A356" s="324" t="s">
        <v>644</v>
      </c>
      <c r="B356" s="217" t="s">
        <v>415</v>
      </c>
      <c r="C356" s="160">
        <v>5</v>
      </c>
      <c r="D356" s="111" t="s">
        <v>637</v>
      </c>
      <c r="E356" s="160">
        <v>900</v>
      </c>
      <c r="F356" s="159">
        <v>100</v>
      </c>
      <c r="G356" s="118">
        <v>1000</v>
      </c>
      <c r="H356" s="114">
        <v>6</v>
      </c>
      <c r="I356" s="114">
        <v>8</v>
      </c>
      <c r="J356" s="114">
        <v>14</v>
      </c>
      <c r="K356" s="114">
        <v>140</v>
      </c>
      <c r="L356" s="114">
        <v>57</v>
      </c>
      <c r="M356" s="114">
        <v>197</v>
      </c>
      <c r="N356" s="115">
        <v>5985</v>
      </c>
      <c r="O356" s="116">
        <v>1197</v>
      </c>
    </row>
    <row r="357" spans="1:15" s="6" customFormat="1" ht="21" x14ac:dyDescent="0.15">
      <c r="A357" s="324" t="s">
        <v>645</v>
      </c>
      <c r="B357" s="215" t="s">
        <v>412</v>
      </c>
      <c r="C357" s="159">
        <v>26.5</v>
      </c>
      <c r="D357" s="111" t="s">
        <v>637</v>
      </c>
      <c r="E357" s="160">
        <v>3200</v>
      </c>
      <c r="F357" s="159">
        <v>1000</v>
      </c>
      <c r="G357" s="118">
        <v>4200</v>
      </c>
      <c r="H357" s="114">
        <v>6</v>
      </c>
      <c r="I357" s="114">
        <v>8</v>
      </c>
      <c r="J357" s="114">
        <v>14</v>
      </c>
      <c r="K357" s="114">
        <v>588</v>
      </c>
      <c r="L357" s="114">
        <v>239.4</v>
      </c>
      <c r="M357" s="114">
        <v>827.4</v>
      </c>
      <c r="N357" s="115">
        <v>133226.1</v>
      </c>
      <c r="O357" s="116">
        <v>5027.4000000000005</v>
      </c>
    </row>
    <row r="358" spans="1:15" s="6" customFormat="1" ht="20" x14ac:dyDescent="0.15">
      <c r="A358" s="324" t="s">
        <v>646</v>
      </c>
      <c r="B358" s="215" t="s">
        <v>413</v>
      </c>
      <c r="C358" s="159"/>
      <c r="D358" s="141"/>
      <c r="E358" s="160"/>
      <c r="F358" s="159"/>
      <c r="G358" s="159"/>
      <c r="H358" s="159"/>
      <c r="I358" s="159"/>
      <c r="J358" s="159"/>
      <c r="K358" s="159"/>
      <c r="L358" s="159"/>
      <c r="M358" s="159"/>
      <c r="N358" s="159"/>
      <c r="O358" s="162"/>
    </row>
    <row r="359" spans="1:15" s="6" customFormat="1" ht="21" x14ac:dyDescent="0.15">
      <c r="A359" s="295" t="s">
        <v>877</v>
      </c>
      <c r="B359" s="216" t="s">
        <v>638</v>
      </c>
      <c r="C359" s="160">
        <v>2446.2199999999998</v>
      </c>
      <c r="D359" s="163" t="s">
        <v>298</v>
      </c>
      <c r="E359" s="160">
        <v>48</v>
      </c>
      <c r="F359" s="159">
        <v>10</v>
      </c>
      <c r="G359" s="118">
        <v>58</v>
      </c>
      <c r="H359" s="114">
        <v>6</v>
      </c>
      <c r="I359" s="114">
        <v>8</v>
      </c>
      <c r="J359" s="114">
        <v>14</v>
      </c>
      <c r="K359" s="114">
        <v>8.120000000000001</v>
      </c>
      <c r="L359" s="114">
        <v>3.3060000000000005</v>
      </c>
      <c r="M359" s="114">
        <v>11.426000000000002</v>
      </c>
      <c r="N359" s="115">
        <v>169831.27</v>
      </c>
      <c r="O359" s="116">
        <v>69.426000114462312</v>
      </c>
    </row>
    <row r="360" spans="1:15" s="6" customFormat="1" ht="21" x14ac:dyDescent="0.15">
      <c r="A360" s="295" t="s">
        <v>878</v>
      </c>
      <c r="B360" s="216" t="s">
        <v>713</v>
      </c>
      <c r="C360" s="160">
        <v>8330.67</v>
      </c>
      <c r="D360" s="163" t="s">
        <v>298</v>
      </c>
      <c r="E360" s="160">
        <v>48</v>
      </c>
      <c r="F360" s="159">
        <v>10</v>
      </c>
      <c r="G360" s="118">
        <v>58</v>
      </c>
      <c r="H360" s="114">
        <v>6</v>
      </c>
      <c r="I360" s="114">
        <v>8</v>
      </c>
      <c r="J360" s="114">
        <v>14</v>
      </c>
      <c r="K360" s="114">
        <v>8.120000000000001</v>
      </c>
      <c r="L360" s="114">
        <v>3.3060000000000005</v>
      </c>
      <c r="M360" s="114">
        <v>11.426000000000002</v>
      </c>
      <c r="N360" s="115">
        <v>578365.1</v>
      </c>
      <c r="O360" s="116">
        <v>69.426000549775708</v>
      </c>
    </row>
    <row r="361" spans="1:15" s="6" customFormat="1" ht="21" x14ac:dyDescent="0.15">
      <c r="A361" s="295" t="s">
        <v>879</v>
      </c>
      <c r="B361" s="176" t="s">
        <v>350</v>
      </c>
      <c r="C361" s="160">
        <v>107.7689</v>
      </c>
      <c r="D361" s="163" t="s">
        <v>298</v>
      </c>
      <c r="E361" s="160">
        <v>80</v>
      </c>
      <c r="F361" s="159">
        <v>8</v>
      </c>
      <c r="G361" s="118">
        <v>88</v>
      </c>
      <c r="H361" s="114">
        <v>6</v>
      </c>
      <c r="I361" s="114">
        <v>8</v>
      </c>
      <c r="J361" s="114">
        <v>14</v>
      </c>
      <c r="K361" s="114">
        <v>12.32</v>
      </c>
      <c r="L361" s="114">
        <v>5.016</v>
      </c>
      <c r="M361" s="114">
        <v>17.335999999999999</v>
      </c>
      <c r="N361" s="115">
        <v>11351.94</v>
      </c>
      <c r="O361" s="116">
        <v>105.33595499258135</v>
      </c>
    </row>
    <row r="362" spans="1:15" s="6" customFormat="1" ht="20" x14ac:dyDescent="0.25">
      <c r="A362" s="324" t="s">
        <v>647</v>
      </c>
      <c r="B362" s="154" t="s">
        <v>630</v>
      </c>
      <c r="C362" s="283">
        <v>3</v>
      </c>
      <c r="D362" s="141" t="s">
        <v>1</v>
      </c>
      <c r="E362" s="156">
        <v>500</v>
      </c>
      <c r="F362" s="156">
        <v>300</v>
      </c>
      <c r="G362" s="267">
        <v>800</v>
      </c>
      <c r="H362" s="114">
        <v>6</v>
      </c>
      <c r="I362" s="114">
        <v>8</v>
      </c>
      <c r="J362" s="267">
        <v>14</v>
      </c>
      <c r="K362" s="267">
        <v>112.00000000000001</v>
      </c>
      <c r="L362" s="267">
        <v>45.6</v>
      </c>
      <c r="M362" s="267">
        <v>157.60000000000002</v>
      </c>
      <c r="N362" s="115">
        <v>2872.8</v>
      </c>
      <c r="O362" s="157">
        <v>957.6</v>
      </c>
    </row>
    <row r="363" spans="1:15" s="6" customFormat="1" ht="20" x14ac:dyDescent="0.25">
      <c r="A363" s="324" t="s">
        <v>648</v>
      </c>
      <c r="B363" s="154" t="s">
        <v>631</v>
      </c>
      <c r="C363" s="283">
        <v>1</v>
      </c>
      <c r="D363" s="141" t="s">
        <v>5</v>
      </c>
      <c r="E363" s="156">
        <v>5000</v>
      </c>
      <c r="F363" s="156">
        <v>3000</v>
      </c>
      <c r="G363" s="267">
        <v>8000</v>
      </c>
      <c r="H363" s="114">
        <v>6</v>
      </c>
      <c r="I363" s="114">
        <v>8</v>
      </c>
      <c r="J363" s="267">
        <v>14</v>
      </c>
      <c r="K363" s="267">
        <v>1120</v>
      </c>
      <c r="L363" s="267">
        <v>456</v>
      </c>
      <c r="M363" s="267">
        <v>1576</v>
      </c>
      <c r="N363" s="115">
        <v>9576</v>
      </c>
      <c r="O363" s="157">
        <v>9576</v>
      </c>
    </row>
    <row r="364" spans="1:15" s="6" customFormat="1" ht="20" x14ac:dyDescent="0.25">
      <c r="A364" s="324" t="s">
        <v>649</v>
      </c>
      <c r="B364" s="154" t="s">
        <v>349</v>
      </c>
      <c r="C364" s="283">
        <v>1</v>
      </c>
      <c r="D364" s="141" t="s">
        <v>5</v>
      </c>
      <c r="E364" s="156">
        <v>3000</v>
      </c>
      <c r="F364" s="156">
        <v>1000</v>
      </c>
      <c r="G364" s="267">
        <v>4000</v>
      </c>
      <c r="H364" s="114">
        <v>6</v>
      </c>
      <c r="I364" s="114">
        <v>8</v>
      </c>
      <c r="J364" s="267">
        <v>14</v>
      </c>
      <c r="K364" s="267">
        <v>560</v>
      </c>
      <c r="L364" s="267">
        <v>228</v>
      </c>
      <c r="M364" s="267">
        <v>788</v>
      </c>
      <c r="N364" s="115">
        <v>4788</v>
      </c>
      <c r="O364" s="157">
        <v>4788</v>
      </c>
    </row>
    <row r="365" spans="1:15" s="105" customFormat="1" ht="21" x14ac:dyDescent="0.25">
      <c r="A365" s="198"/>
      <c r="B365" s="203"/>
      <c r="C365" s="112"/>
      <c r="D365" s="111"/>
      <c r="E365" s="112"/>
      <c r="F365" s="112"/>
      <c r="G365" s="118"/>
      <c r="H365" s="114"/>
      <c r="I365" s="114"/>
      <c r="J365" s="114"/>
      <c r="K365" s="114"/>
      <c r="L365" s="114"/>
      <c r="M365" s="191" t="s">
        <v>343</v>
      </c>
      <c r="N365" s="184">
        <v>918390.21</v>
      </c>
      <c r="O365" s="116"/>
    </row>
    <row r="366" spans="1:15" s="105" customFormat="1" ht="21" x14ac:dyDescent="0.15">
      <c r="A366" s="193">
        <v>12</v>
      </c>
      <c r="B366" s="196" t="s">
        <v>432</v>
      </c>
      <c r="C366" s="121"/>
      <c r="D366" s="122"/>
      <c r="E366" s="121"/>
      <c r="F366" s="121"/>
      <c r="G366" s="219"/>
      <c r="H366" s="125"/>
      <c r="I366" s="125"/>
      <c r="J366" s="125"/>
      <c r="K366" s="125"/>
      <c r="L366" s="125"/>
      <c r="M366" s="125"/>
      <c r="N366" s="152"/>
      <c r="O366" s="153"/>
    </row>
    <row r="367" spans="1:15" s="105" customFormat="1" ht="21" x14ac:dyDescent="0.15">
      <c r="A367" s="265">
        <v>12.1</v>
      </c>
      <c r="B367" s="195" t="s">
        <v>432</v>
      </c>
      <c r="C367" s="112">
        <v>1</v>
      </c>
      <c r="D367" s="111" t="s">
        <v>5</v>
      </c>
      <c r="E367" s="112">
        <v>150000</v>
      </c>
      <c r="F367" s="112">
        <v>300000</v>
      </c>
      <c r="G367" s="118">
        <v>450000</v>
      </c>
      <c r="H367" s="114">
        <v>6</v>
      </c>
      <c r="I367" s="114">
        <v>8</v>
      </c>
      <c r="J367" s="114">
        <v>14</v>
      </c>
      <c r="K367" s="114">
        <v>63000.000000000007</v>
      </c>
      <c r="L367" s="114">
        <v>25650</v>
      </c>
      <c r="M367" s="114">
        <v>88650</v>
      </c>
      <c r="N367" s="115">
        <v>538650</v>
      </c>
      <c r="O367" s="116">
        <v>538650</v>
      </c>
    </row>
    <row r="368" spans="1:15" s="105" customFormat="1" ht="19" x14ac:dyDescent="0.2">
      <c r="A368" s="198"/>
      <c r="B368" s="128"/>
      <c r="C368" s="112"/>
      <c r="D368" s="111"/>
      <c r="E368" s="112"/>
      <c r="F368" s="112"/>
      <c r="G368" s="118"/>
      <c r="H368" s="114"/>
      <c r="I368" s="114"/>
      <c r="J368" s="114"/>
      <c r="K368" s="114"/>
      <c r="L368" s="114"/>
      <c r="M368" s="191" t="s">
        <v>343</v>
      </c>
      <c r="N368" s="184">
        <v>538650</v>
      </c>
      <c r="O368" s="199"/>
    </row>
    <row r="369" spans="1:207" s="105" customFormat="1" ht="20" x14ac:dyDescent="0.2">
      <c r="A369" s="193">
        <v>13</v>
      </c>
      <c r="B369" s="196" t="s">
        <v>633</v>
      </c>
      <c r="C369" s="121"/>
      <c r="D369" s="122"/>
      <c r="E369" s="121"/>
      <c r="F369" s="121"/>
      <c r="G369" s="123"/>
      <c r="H369" s="124"/>
      <c r="I369" s="124"/>
      <c r="J369" s="125"/>
      <c r="K369" s="125"/>
      <c r="L369" s="125"/>
      <c r="M369" s="124"/>
      <c r="N369" s="126"/>
      <c r="O369" s="197"/>
    </row>
    <row r="370" spans="1:207" s="105" customFormat="1" ht="40" x14ac:dyDescent="0.15">
      <c r="A370" s="265">
        <v>13.1</v>
      </c>
      <c r="B370" s="221" t="s">
        <v>855</v>
      </c>
      <c r="C370" s="112">
        <v>1</v>
      </c>
      <c r="D370" s="111" t="s">
        <v>1</v>
      </c>
      <c r="E370" s="112">
        <v>1600000</v>
      </c>
      <c r="F370" s="112">
        <v>100000</v>
      </c>
      <c r="G370" s="118">
        <v>1700000</v>
      </c>
      <c r="H370" s="114">
        <v>0</v>
      </c>
      <c r="I370" s="114">
        <v>8</v>
      </c>
      <c r="J370" s="114">
        <v>8</v>
      </c>
      <c r="K370" s="114">
        <v>136000</v>
      </c>
      <c r="L370" s="114">
        <v>91800</v>
      </c>
      <c r="M370" s="114">
        <v>227800</v>
      </c>
      <c r="N370" s="115">
        <v>1927800</v>
      </c>
      <c r="O370" s="116">
        <v>1927800</v>
      </c>
    </row>
    <row r="371" spans="1:207" s="105" customFormat="1" ht="21" x14ac:dyDescent="0.15">
      <c r="A371" s="265">
        <v>13.2</v>
      </c>
      <c r="B371" s="195" t="s">
        <v>681</v>
      </c>
      <c r="C371" s="141">
        <v>35</v>
      </c>
      <c r="D371" s="111" t="s">
        <v>1</v>
      </c>
      <c r="E371" s="112">
        <v>40000</v>
      </c>
      <c r="F371" s="112">
        <v>1500</v>
      </c>
      <c r="G371" s="266">
        <v>41500</v>
      </c>
      <c r="H371" s="267">
        <v>0</v>
      </c>
      <c r="I371" s="267">
        <v>8</v>
      </c>
      <c r="J371" s="267">
        <v>8</v>
      </c>
      <c r="K371" s="267">
        <v>3320</v>
      </c>
      <c r="L371" s="267">
        <v>2241</v>
      </c>
      <c r="M371" s="267">
        <v>5561</v>
      </c>
      <c r="N371" s="115">
        <v>1647135</v>
      </c>
      <c r="O371" s="116">
        <v>47061</v>
      </c>
    </row>
    <row r="372" spans="1:207" s="105" customFormat="1" ht="40" x14ac:dyDescent="0.15">
      <c r="A372" s="265">
        <v>13.299999999999999</v>
      </c>
      <c r="B372" s="195" t="s">
        <v>723</v>
      </c>
      <c r="C372" s="141">
        <v>37</v>
      </c>
      <c r="D372" s="111" t="s">
        <v>1</v>
      </c>
      <c r="E372" s="112">
        <v>30000</v>
      </c>
      <c r="F372" s="112">
        <v>1000</v>
      </c>
      <c r="G372" s="266">
        <v>31000</v>
      </c>
      <c r="H372" s="267">
        <v>0</v>
      </c>
      <c r="I372" s="267">
        <v>8</v>
      </c>
      <c r="J372" s="267">
        <v>8</v>
      </c>
      <c r="K372" s="267">
        <v>2480</v>
      </c>
      <c r="L372" s="267">
        <v>1674</v>
      </c>
      <c r="M372" s="267">
        <v>4154</v>
      </c>
      <c r="N372" s="115">
        <v>1300698</v>
      </c>
      <c r="O372" s="116">
        <v>35154</v>
      </c>
    </row>
    <row r="373" spans="1:207" s="105" customFormat="1" ht="21" x14ac:dyDescent="0.15">
      <c r="A373" s="265">
        <v>13.399999999999999</v>
      </c>
      <c r="B373" s="222" t="s">
        <v>854</v>
      </c>
      <c r="C373" s="112">
        <v>37</v>
      </c>
      <c r="D373" s="163" t="s">
        <v>1</v>
      </c>
      <c r="E373" s="112">
        <v>4000</v>
      </c>
      <c r="F373" s="112">
        <v>500</v>
      </c>
      <c r="G373" s="118">
        <v>4500</v>
      </c>
      <c r="H373" s="114">
        <v>0</v>
      </c>
      <c r="I373" s="114">
        <v>8</v>
      </c>
      <c r="J373" s="114">
        <v>8</v>
      </c>
      <c r="K373" s="114">
        <v>360</v>
      </c>
      <c r="L373" s="114">
        <v>243</v>
      </c>
      <c r="M373" s="114">
        <v>603</v>
      </c>
      <c r="N373" s="115">
        <v>188811</v>
      </c>
      <c r="O373" s="116">
        <v>5103</v>
      </c>
    </row>
    <row r="374" spans="1:207" s="213" customFormat="1" ht="20" outlineLevel="2" x14ac:dyDescent="0.15">
      <c r="A374" s="265">
        <v>13.499999999999998</v>
      </c>
      <c r="B374" s="221" t="s">
        <v>737</v>
      </c>
      <c r="C374" s="167">
        <v>105</v>
      </c>
      <c r="D374" s="165" t="s">
        <v>1</v>
      </c>
      <c r="E374" s="165">
        <v>6000</v>
      </c>
      <c r="F374" s="165">
        <v>300</v>
      </c>
      <c r="G374" s="159">
        <v>6300</v>
      </c>
      <c r="H374" s="114">
        <v>0</v>
      </c>
      <c r="I374" s="161">
        <v>8</v>
      </c>
      <c r="J374" s="159">
        <v>8</v>
      </c>
      <c r="K374" s="159">
        <v>504</v>
      </c>
      <c r="L374" s="159">
        <v>340.20000000000005</v>
      </c>
      <c r="M374" s="159">
        <v>844.2</v>
      </c>
      <c r="N374" s="115">
        <v>750141</v>
      </c>
      <c r="O374" s="162">
        <v>7144.2</v>
      </c>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row>
    <row r="375" spans="1:207" s="105" customFormat="1" ht="40" x14ac:dyDescent="0.15">
      <c r="A375" s="265">
        <v>13.599999999999998</v>
      </c>
      <c r="B375" s="195" t="s">
        <v>486</v>
      </c>
      <c r="C375" s="110">
        <v>3</v>
      </c>
      <c r="D375" s="111" t="s">
        <v>1</v>
      </c>
      <c r="E375" s="112">
        <v>9000</v>
      </c>
      <c r="F375" s="112">
        <v>3000</v>
      </c>
      <c r="G375" s="118">
        <v>12000</v>
      </c>
      <c r="H375" s="114">
        <v>6</v>
      </c>
      <c r="I375" s="114">
        <v>8</v>
      </c>
      <c r="J375" s="114">
        <v>14</v>
      </c>
      <c r="K375" s="114">
        <v>1680.0000000000002</v>
      </c>
      <c r="L375" s="114">
        <v>684</v>
      </c>
      <c r="M375" s="114">
        <v>2364</v>
      </c>
      <c r="N375" s="115">
        <v>43092</v>
      </c>
      <c r="O375" s="116">
        <v>14364</v>
      </c>
    </row>
    <row r="376" spans="1:207" s="105" customFormat="1" ht="40" x14ac:dyDescent="0.15">
      <c r="A376" s="265">
        <v>13.699999999999998</v>
      </c>
      <c r="B376" s="222" t="s">
        <v>716</v>
      </c>
      <c r="C376" s="112">
        <v>30</v>
      </c>
      <c r="D376" s="163" t="s">
        <v>1</v>
      </c>
      <c r="E376" s="112">
        <v>1500</v>
      </c>
      <c r="F376" s="112">
        <v>300</v>
      </c>
      <c r="G376" s="118">
        <v>1800</v>
      </c>
      <c r="H376" s="114">
        <v>6</v>
      </c>
      <c r="I376" s="114">
        <v>8</v>
      </c>
      <c r="J376" s="114">
        <v>14</v>
      </c>
      <c r="K376" s="114">
        <v>252.00000000000003</v>
      </c>
      <c r="L376" s="114">
        <v>102.60000000000001</v>
      </c>
      <c r="M376" s="114">
        <v>354.6</v>
      </c>
      <c r="N376" s="115">
        <v>64638</v>
      </c>
      <c r="O376" s="116">
        <v>2154.6</v>
      </c>
    </row>
    <row r="377" spans="1:207" s="105" customFormat="1" ht="60" x14ac:dyDescent="0.15">
      <c r="A377" s="265">
        <v>13.799999999999997</v>
      </c>
      <c r="B377" s="195" t="s">
        <v>553</v>
      </c>
      <c r="C377" s="110">
        <v>38</v>
      </c>
      <c r="D377" s="111" t="s">
        <v>1</v>
      </c>
      <c r="E377" s="112">
        <v>14000</v>
      </c>
      <c r="F377" s="112">
        <v>6000</v>
      </c>
      <c r="G377" s="118">
        <v>20000</v>
      </c>
      <c r="H377" s="114">
        <v>6</v>
      </c>
      <c r="I377" s="114">
        <v>8</v>
      </c>
      <c r="J377" s="114">
        <v>14</v>
      </c>
      <c r="K377" s="114">
        <v>2800.0000000000005</v>
      </c>
      <c r="L377" s="114">
        <v>1140</v>
      </c>
      <c r="M377" s="114">
        <v>3940.0000000000005</v>
      </c>
      <c r="N377" s="115">
        <v>909720</v>
      </c>
      <c r="O377" s="116">
        <v>23940</v>
      </c>
    </row>
    <row r="378" spans="1:207" s="105" customFormat="1" ht="21" x14ac:dyDescent="0.15">
      <c r="A378" s="265">
        <v>13.899999999999997</v>
      </c>
      <c r="B378" s="195" t="s">
        <v>875</v>
      </c>
      <c r="C378" s="110">
        <v>1</v>
      </c>
      <c r="D378" s="111" t="s">
        <v>5</v>
      </c>
      <c r="E378" s="112">
        <v>0</v>
      </c>
      <c r="F378" s="112">
        <v>15000</v>
      </c>
      <c r="G378" s="118">
        <v>15000</v>
      </c>
      <c r="H378" s="114">
        <v>6</v>
      </c>
      <c r="I378" s="114">
        <v>8</v>
      </c>
      <c r="J378" s="114">
        <v>14</v>
      </c>
      <c r="K378" s="114">
        <v>2100</v>
      </c>
      <c r="L378" s="114">
        <v>855</v>
      </c>
      <c r="M378" s="114">
        <v>2955</v>
      </c>
      <c r="N378" s="115">
        <v>17955</v>
      </c>
      <c r="O378" s="116">
        <v>17955</v>
      </c>
    </row>
    <row r="379" spans="1:207" s="105" customFormat="1" ht="19" x14ac:dyDescent="0.2">
      <c r="A379" s="201"/>
      <c r="B379" s="200"/>
      <c r="C379" s="112"/>
      <c r="D379" s="111"/>
      <c r="E379" s="112"/>
      <c r="F379" s="112"/>
      <c r="G379" s="127"/>
      <c r="H379" s="119"/>
      <c r="I379" s="119"/>
      <c r="J379" s="114"/>
      <c r="K379" s="114"/>
      <c r="L379" s="114"/>
      <c r="M379" s="191" t="s">
        <v>343</v>
      </c>
      <c r="N379" s="120">
        <v>6849990</v>
      </c>
      <c r="O379" s="199"/>
    </row>
    <row r="380" spans="1:207" s="139" customFormat="1" ht="20" x14ac:dyDescent="0.15">
      <c r="A380" s="317">
        <v>13.1</v>
      </c>
      <c r="B380" s="286" t="s">
        <v>566</v>
      </c>
      <c r="C380" s="156"/>
      <c r="D380" s="141"/>
      <c r="E380" s="156"/>
      <c r="F380" s="156"/>
      <c r="G380" s="156"/>
      <c r="H380" s="156"/>
      <c r="I380" s="156"/>
      <c r="J380" s="156"/>
      <c r="K380" s="156"/>
      <c r="L380" s="156"/>
      <c r="M380" s="156"/>
      <c r="N380" s="156"/>
      <c r="O380" s="157"/>
    </row>
    <row r="381" spans="1:207" s="142" customFormat="1" ht="20" x14ac:dyDescent="0.25">
      <c r="A381" s="293" t="s">
        <v>682</v>
      </c>
      <c r="B381" s="154" t="s">
        <v>852</v>
      </c>
      <c r="C381" s="156">
        <v>1</v>
      </c>
      <c r="D381" s="141" t="s">
        <v>1</v>
      </c>
      <c r="E381" s="156">
        <v>60000</v>
      </c>
      <c r="F381" s="156">
        <v>10000</v>
      </c>
      <c r="G381" s="156">
        <v>70000</v>
      </c>
      <c r="H381" s="156">
        <v>6</v>
      </c>
      <c r="I381" s="156">
        <v>8</v>
      </c>
      <c r="J381" s="156">
        <v>14</v>
      </c>
      <c r="K381" s="156">
        <v>9800.0000000000018</v>
      </c>
      <c r="L381" s="156">
        <v>3990</v>
      </c>
      <c r="M381" s="156">
        <v>13790</v>
      </c>
      <c r="N381" s="115">
        <v>83790</v>
      </c>
      <c r="O381" s="157">
        <v>83790</v>
      </c>
    </row>
    <row r="382" spans="1:207" s="142" customFormat="1" ht="20" x14ac:dyDescent="0.25">
      <c r="A382" s="293" t="s">
        <v>683</v>
      </c>
      <c r="B382" s="154" t="s">
        <v>853</v>
      </c>
      <c r="C382" s="156">
        <v>1</v>
      </c>
      <c r="D382" s="141" t="s">
        <v>1</v>
      </c>
      <c r="E382" s="156">
        <v>60000</v>
      </c>
      <c r="F382" s="156">
        <v>10000</v>
      </c>
      <c r="G382" s="156">
        <v>70000</v>
      </c>
      <c r="H382" s="156">
        <v>6</v>
      </c>
      <c r="I382" s="156">
        <v>8</v>
      </c>
      <c r="J382" s="156">
        <v>14</v>
      </c>
      <c r="K382" s="156">
        <v>9800.0000000000018</v>
      </c>
      <c r="L382" s="156">
        <v>3990</v>
      </c>
      <c r="M382" s="156">
        <v>13790</v>
      </c>
      <c r="N382" s="115">
        <v>83790</v>
      </c>
      <c r="O382" s="157">
        <v>83790</v>
      </c>
    </row>
    <row r="383" spans="1:207" s="142" customFormat="1" ht="60" x14ac:dyDescent="0.25">
      <c r="A383" s="293" t="s">
        <v>684</v>
      </c>
      <c r="B383" s="154" t="s">
        <v>680</v>
      </c>
      <c r="C383" s="156">
        <v>1</v>
      </c>
      <c r="D383" s="141" t="s">
        <v>5</v>
      </c>
      <c r="E383" s="156">
        <v>100000</v>
      </c>
      <c r="F383" s="156">
        <v>10000</v>
      </c>
      <c r="G383" s="156">
        <v>110000</v>
      </c>
      <c r="H383" s="156">
        <v>6</v>
      </c>
      <c r="I383" s="156">
        <v>8</v>
      </c>
      <c r="J383" s="156">
        <v>14</v>
      </c>
      <c r="K383" s="156">
        <v>15400.000000000002</v>
      </c>
      <c r="L383" s="156">
        <v>6270</v>
      </c>
      <c r="M383" s="156">
        <v>21670</v>
      </c>
      <c r="N383" s="115">
        <v>131670</v>
      </c>
      <c r="O383" s="157">
        <v>131670</v>
      </c>
    </row>
    <row r="384" spans="1:207" s="105" customFormat="1" ht="19" x14ac:dyDescent="0.2">
      <c r="A384" s="201"/>
      <c r="B384" s="200"/>
      <c r="C384" s="112"/>
      <c r="D384" s="111"/>
      <c r="E384" s="112"/>
      <c r="F384" s="112"/>
      <c r="G384" s="127"/>
      <c r="H384" s="119"/>
      <c r="I384" s="119"/>
      <c r="J384" s="114"/>
      <c r="K384" s="114"/>
      <c r="L384" s="114"/>
      <c r="M384" s="191" t="s">
        <v>343</v>
      </c>
      <c r="N384" s="120">
        <v>299250</v>
      </c>
      <c r="O384" s="199"/>
    </row>
    <row r="385" spans="1:207" s="310" customFormat="1" ht="19" outlineLevel="2" x14ac:dyDescent="0.25">
      <c r="A385" s="317">
        <v>13.11</v>
      </c>
      <c r="B385" s="307" t="s">
        <v>695</v>
      </c>
      <c r="C385" s="308"/>
      <c r="D385" s="308"/>
      <c r="E385" s="308"/>
      <c r="F385" s="308"/>
      <c r="G385" s="165"/>
      <c r="H385" s="165"/>
      <c r="I385" s="165"/>
      <c r="J385" s="165"/>
      <c r="K385" s="165"/>
      <c r="L385" s="165"/>
      <c r="M385" s="165"/>
      <c r="N385" s="164"/>
      <c r="O385" s="209"/>
      <c r="P385" s="158"/>
      <c r="Q385" s="158"/>
      <c r="R385" s="309"/>
      <c r="S385" s="171"/>
      <c r="T385" s="171"/>
      <c r="U385" s="171"/>
      <c r="V385" s="171"/>
      <c r="W385" s="171"/>
      <c r="X385" s="171"/>
      <c r="Y385" s="171"/>
      <c r="Z385" s="171"/>
      <c r="AA385" s="171"/>
      <c r="AB385" s="171"/>
      <c r="AC385" s="171"/>
      <c r="AD385" s="171"/>
      <c r="AE385" s="171"/>
      <c r="AF385" s="171"/>
      <c r="AG385" s="171"/>
      <c r="AH385" s="171"/>
      <c r="AI385" s="171"/>
      <c r="AJ385" s="171"/>
      <c r="AK385" s="171"/>
      <c r="AL385" s="171"/>
      <c r="AM385" s="171"/>
      <c r="AN385" s="171"/>
      <c r="AO385" s="171"/>
      <c r="AP385" s="171"/>
      <c r="AQ385" s="171"/>
      <c r="AR385" s="171"/>
      <c r="AS385" s="171"/>
      <c r="AT385" s="171"/>
      <c r="AU385" s="171"/>
      <c r="AV385" s="171"/>
      <c r="AW385" s="171"/>
      <c r="AX385" s="171"/>
      <c r="AY385" s="171"/>
      <c r="AZ385" s="171"/>
      <c r="BA385" s="171"/>
      <c r="BB385" s="171"/>
      <c r="BC385" s="171"/>
      <c r="BD385" s="171"/>
      <c r="BE385" s="171"/>
      <c r="BF385" s="171"/>
      <c r="BG385" s="171"/>
      <c r="BH385" s="171"/>
      <c r="BI385" s="171"/>
      <c r="BJ385" s="171"/>
      <c r="BK385" s="171"/>
      <c r="BL385" s="171"/>
      <c r="BM385" s="171"/>
      <c r="BN385" s="171"/>
      <c r="BO385" s="171"/>
      <c r="BP385" s="171"/>
      <c r="BQ385" s="171"/>
      <c r="BR385" s="171"/>
      <c r="BS385" s="171"/>
      <c r="BT385" s="171"/>
      <c r="BU385" s="171"/>
      <c r="BV385" s="171"/>
      <c r="BW385" s="171"/>
      <c r="BX385" s="171"/>
      <c r="BY385" s="171"/>
      <c r="BZ385" s="171"/>
      <c r="CA385" s="171"/>
      <c r="CB385" s="171"/>
      <c r="CC385" s="171"/>
      <c r="CD385" s="171"/>
      <c r="CE385" s="171"/>
      <c r="CF385" s="171"/>
      <c r="CG385" s="171"/>
      <c r="CH385" s="171"/>
      <c r="CI385" s="171"/>
      <c r="CJ385" s="171"/>
      <c r="CK385" s="171"/>
      <c r="CL385" s="171"/>
      <c r="CM385" s="171"/>
      <c r="CN385" s="171"/>
      <c r="CO385" s="171"/>
      <c r="CP385" s="171"/>
      <c r="CQ385" s="171"/>
      <c r="CR385" s="171"/>
      <c r="CS385" s="171"/>
      <c r="CT385" s="171"/>
      <c r="CU385" s="171"/>
      <c r="CV385" s="171"/>
      <c r="CW385" s="171"/>
      <c r="CX385" s="171"/>
      <c r="CY385" s="171"/>
      <c r="CZ385" s="171"/>
      <c r="DA385" s="171"/>
      <c r="DB385" s="171"/>
      <c r="DC385" s="171"/>
      <c r="DD385" s="171"/>
      <c r="DE385" s="171"/>
      <c r="DF385" s="171"/>
      <c r="DG385" s="171"/>
      <c r="DH385" s="171"/>
      <c r="DI385" s="171"/>
      <c r="DJ385" s="171"/>
      <c r="DK385" s="171"/>
      <c r="DL385" s="171"/>
      <c r="DM385" s="171"/>
      <c r="DN385" s="171"/>
      <c r="DO385" s="171"/>
      <c r="DP385" s="171"/>
      <c r="DQ385" s="171"/>
      <c r="DR385" s="171"/>
      <c r="DS385" s="171"/>
      <c r="DT385" s="171"/>
      <c r="DU385" s="171"/>
      <c r="DV385" s="171"/>
      <c r="DW385" s="171"/>
      <c r="DX385" s="171"/>
      <c r="DY385" s="171"/>
      <c r="DZ385" s="171"/>
      <c r="EA385" s="171"/>
      <c r="EB385" s="171"/>
      <c r="EC385" s="171"/>
      <c r="ED385" s="171"/>
      <c r="EE385" s="171"/>
      <c r="EF385" s="171"/>
      <c r="EG385" s="171"/>
      <c r="EH385" s="171"/>
      <c r="EI385" s="171"/>
      <c r="EJ385" s="171"/>
      <c r="EK385" s="171"/>
      <c r="EL385" s="171"/>
      <c r="EM385" s="171"/>
      <c r="EN385" s="171"/>
      <c r="EO385" s="171"/>
      <c r="EP385" s="171"/>
      <c r="EQ385" s="171"/>
      <c r="ER385" s="171"/>
      <c r="ES385" s="171"/>
      <c r="ET385" s="171"/>
      <c r="EU385" s="171"/>
      <c r="EV385" s="171"/>
      <c r="EW385" s="171"/>
      <c r="EX385" s="171"/>
      <c r="EY385" s="171"/>
      <c r="EZ385" s="171"/>
      <c r="FA385" s="171"/>
      <c r="FB385" s="171"/>
      <c r="FC385" s="171"/>
      <c r="FD385" s="171"/>
      <c r="FE385" s="171"/>
      <c r="FF385" s="171"/>
      <c r="FG385" s="171"/>
      <c r="FH385" s="171"/>
      <c r="FI385" s="171"/>
      <c r="FJ385" s="171"/>
      <c r="FK385" s="171"/>
      <c r="FL385" s="171"/>
      <c r="FM385" s="171"/>
      <c r="FN385" s="171"/>
      <c r="FO385" s="171"/>
      <c r="FP385" s="171"/>
      <c r="FQ385" s="171"/>
      <c r="FR385" s="171"/>
      <c r="FS385" s="171"/>
      <c r="FT385" s="171"/>
      <c r="FU385" s="171"/>
      <c r="FV385" s="171"/>
      <c r="FW385" s="171"/>
      <c r="FX385" s="171"/>
      <c r="FY385" s="171"/>
      <c r="FZ385" s="171"/>
      <c r="GA385" s="171"/>
      <c r="GB385" s="171"/>
      <c r="GC385" s="171"/>
      <c r="GD385" s="171"/>
      <c r="GE385" s="171"/>
      <c r="GF385" s="171"/>
      <c r="GG385" s="171"/>
      <c r="GH385" s="171"/>
      <c r="GI385" s="171"/>
      <c r="GJ385" s="171"/>
      <c r="GK385" s="171"/>
      <c r="GL385" s="171"/>
      <c r="GM385" s="171"/>
      <c r="GN385" s="171"/>
      <c r="GO385" s="171"/>
      <c r="GP385" s="171"/>
      <c r="GQ385" s="171"/>
      <c r="GR385" s="171"/>
      <c r="GS385" s="171"/>
      <c r="GT385" s="171"/>
      <c r="GU385" s="171"/>
      <c r="GV385" s="171"/>
      <c r="GW385" s="171"/>
      <c r="GX385" s="171"/>
      <c r="GY385" s="171"/>
    </row>
    <row r="386" spans="1:207" s="310" customFormat="1" ht="40" outlineLevel="2" x14ac:dyDescent="0.15">
      <c r="A386" s="293" t="s">
        <v>717</v>
      </c>
      <c r="B386" s="155" t="s">
        <v>847</v>
      </c>
      <c r="C386" s="312">
        <v>1</v>
      </c>
      <c r="D386" s="312" t="s">
        <v>1</v>
      </c>
      <c r="E386" s="312">
        <v>80000</v>
      </c>
      <c r="F386" s="165">
        <v>3000</v>
      </c>
      <c r="G386" s="165">
        <v>83000</v>
      </c>
      <c r="H386" s="165">
        <v>0</v>
      </c>
      <c r="I386" s="165">
        <v>8</v>
      </c>
      <c r="J386" s="165">
        <v>8</v>
      </c>
      <c r="K386" s="165">
        <v>6640</v>
      </c>
      <c r="L386" s="165">
        <v>4482</v>
      </c>
      <c r="M386" s="165">
        <v>11122</v>
      </c>
      <c r="N386" s="164">
        <v>94122</v>
      </c>
      <c r="O386" s="209">
        <v>94122</v>
      </c>
      <c r="P386" s="158"/>
      <c r="Q386" s="158"/>
      <c r="R386" s="309"/>
      <c r="S386" s="171"/>
      <c r="T386" s="171"/>
      <c r="U386" s="171"/>
      <c r="V386" s="171"/>
      <c r="W386" s="171"/>
      <c r="X386" s="171"/>
      <c r="Y386" s="171"/>
      <c r="Z386" s="171"/>
      <c r="AA386" s="171"/>
      <c r="AB386" s="171"/>
      <c r="AC386" s="171"/>
      <c r="AD386" s="171"/>
      <c r="AE386" s="171"/>
      <c r="AF386" s="171"/>
      <c r="AG386" s="171"/>
      <c r="AH386" s="171"/>
      <c r="AI386" s="171"/>
      <c r="AJ386" s="171"/>
      <c r="AK386" s="171"/>
      <c r="AL386" s="171"/>
      <c r="AM386" s="171"/>
      <c r="AN386" s="171"/>
      <c r="AO386" s="171"/>
      <c r="AP386" s="171"/>
      <c r="AQ386" s="171"/>
      <c r="AR386" s="171"/>
      <c r="AS386" s="171"/>
      <c r="AT386" s="171"/>
      <c r="AU386" s="171"/>
      <c r="AV386" s="171"/>
      <c r="AW386" s="171"/>
      <c r="AX386" s="171"/>
      <c r="AY386" s="171"/>
      <c r="AZ386" s="171"/>
      <c r="BA386" s="171"/>
      <c r="BB386" s="171"/>
      <c r="BC386" s="171"/>
      <c r="BD386" s="171"/>
      <c r="BE386" s="171"/>
      <c r="BF386" s="171"/>
      <c r="BG386" s="171"/>
      <c r="BH386" s="171"/>
      <c r="BI386" s="171"/>
      <c r="BJ386" s="171"/>
      <c r="BK386" s="171"/>
      <c r="BL386" s="171"/>
      <c r="BM386" s="171"/>
      <c r="BN386" s="171"/>
      <c r="BO386" s="171"/>
      <c r="BP386" s="171"/>
      <c r="BQ386" s="171"/>
      <c r="BR386" s="171"/>
      <c r="BS386" s="171"/>
      <c r="BT386" s="171"/>
      <c r="BU386" s="171"/>
      <c r="BV386" s="171"/>
      <c r="BW386" s="171"/>
      <c r="BX386" s="171"/>
      <c r="BY386" s="171"/>
      <c r="BZ386" s="171"/>
      <c r="CA386" s="171"/>
      <c r="CB386" s="171"/>
      <c r="CC386" s="171"/>
      <c r="CD386" s="171"/>
      <c r="CE386" s="171"/>
      <c r="CF386" s="171"/>
      <c r="CG386" s="171"/>
      <c r="CH386" s="171"/>
      <c r="CI386" s="171"/>
      <c r="CJ386" s="171"/>
      <c r="CK386" s="171"/>
      <c r="CL386" s="171"/>
      <c r="CM386" s="171"/>
      <c r="CN386" s="171"/>
      <c r="CO386" s="171"/>
      <c r="CP386" s="171"/>
      <c r="CQ386" s="171"/>
      <c r="CR386" s="171"/>
      <c r="CS386" s="171"/>
      <c r="CT386" s="171"/>
      <c r="CU386" s="171"/>
      <c r="CV386" s="171"/>
      <c r="CW386" s="171"/>
      <c r="CX386" s="171"/>
      <c r="CY386" s="171"/>
      <c r="CZ386" s="171"/>
      <c r="DA386" s="171"/>
      <c r="DB386" s="171"/>
      <c r="DC386" s="171"/>
      <c r="DD386" s="171"/>
      <c r="DE386" s="171"/>
      <c r="DF386" s="171"/>
      <c r="DG386" s="171"/>
      <c r="DH386" s="171"/>
      <c r="DI386" s="171"/>
      <c r="DJ386" s="171"/>
      <c r="DK386" s="171"/>
      <c r="DL386" s="171"/>
      <c r="DM386" s="171"/>
      <c r="DN386" s="171"/>
      <c r="DO386" s="171"/>
      <c r="DP386" s="171"/>
      <c r="DQ386" s="171"/>
      <c r="DR386" s="171"/>
      <c r="DS386" s="171"/>
      <c r="DT386" s="171"/>
      <c r="DU386" s="171"/>
      <c r="DV386" s="171"/>
      <c r="DW386" s="171"/>
      <c r="DX386" s="171"/>
      <c r="DY386" s="171"/>
      <c r="DZ386" s="171"/>
      <c r="EA386" s="171"/>
      <c r="EB386" s="171"/>
      <c r="EC386" s="171"/>
      <c r="ED386" s="171"/>
      <c r="EE386" s="171"/>
      <c r="EF386" s="171"/>
      <c r="EG386" s="171"/>
      <c r="EH386" s="171"/>
      <c r="EI386" s="171"/>
      <c r="EJ386" s="171"/>
      <c r="EK386" s="171"/>
      <c r="EL386" s="171"/>
      <c r="EM386" s="171"/>
      <c r="EN386" s="171"/>
      <c r="EO386" s="171"/>
      <c r="EP386" s="171"/>
      <c r="EQ386" s="171"/>
      <c r="ER386" s="171"/>
      <c r="ES386" s="171"/>
      <c r="ET386" s="171"/>
      <c r="EU386" s="171"/>
      <c r="EV386" s="171"/>
      <c r="EW386" s="171"/>
      <c r="EX386" s="171"/>
      <c r="EY386" s="171"/>
      <c r="EZ386" s="171"/>
      <c r="FA386" s="171"/>
      <c r="FB386" s="171"/>
      <c r="FC386" s="171"/>
      <c r="FD386" s="171"/>
      <c r="FE386" s="171"/>
      <c r="FF386" s="171"/>
      <c r="FG386" s="171"/>
      <c r="FH386" s="171"/>
      <c r="FI386" s="171"/>
      <c r="FJ386" s="171"/>
      <c r="FK386" s="171"/>
      <c r="FL386" s="171"/>
      <c r="FM386" s="171"/>
      <c r="FN386" s="171"/>
      <c r="FO386" s="171"/>
      <c r="FP386" s="171"/>
      <c r="FQ386" s="171"/>
      <c r="FR386" s="171"/>
      <c r="FS386" s="171"/>
      <c r="FT386" s="171"/>
      <c r="FU386" s="171"/>
      <c r="FV386" s="171"/>
      <c r="FW386" s="171"/>
      <c r="FX386" s="171"/>
      <c r="FY386" s="171"/>
      <c r="FZ386" s="171"/>
      <c r="GA386" s="171"/>
      <c r="GB386" s="171"/>
      <c r="GC386" s="171"/>
      <c r="GD386" s="171"/>
      <c r="GE386" s="171"/>
      <c r="GF386" s="171"/>
      <c r="GG386" s="171"/>
      <c r="GH386" s="171"/>
      <c r="GI386" s="171"/>
      <c r="GJ386" s="171"/>
      <c r="GK386" s="171"/>
      <c r="GL386" s="171"/>
      <c r="GM386" s="171"/>
      <c r="GN386" s="171"/>
      <c r="GO386" s="171"/>
      <c r="GP386" s="171"/>
      <c r="GQ386" s="171"/>
      <c r="GR386" s="171"/>
      <c r="GS386" s="171"/>
      <c r="GT386" s="171"/>
      <c r="GU386" s="171"/>
      <c r="GV386" s="171"/>
      <c r="GW386" s="171"/>
      <c r="GX386" s="171"/>
      <c r="GY386" s="171"/>
    </row>
    <row r="387" spans="1:207" s="310" customFormat="1" ht="40" outlineLevel="2" x14ac:dyDescent="0.15">
      <c r="A387" s="293" t="s">
        <v>718</v>
      </c>
      <c r="B387" s="155" t="s">
        <v>848</v>
      </c>
      <c r="C387" s="312">
        <v>8</v>
      </c>
      <c r="D387" s="312" t="s">
        <v>1</v>
      </c>
      <c r="E387" s="312">
        <v>75000</v>
      </c>
      <c r="F387" s="165">
        <v>3000</v>
      </c>
      <c r="G387" s="165">
        <v>78000</v>
      </c>
      <c r="H387" s="165">
        <v>0</v>
      </c>
      <c r="I387" s="165">
        <v>8</v>
      </c>
      <c r="J387" s="165">
        <v>8</v>
      </c>
      <c r="K387" s="165">
        <v>6240</v>
      </c>
      <c r="L387" s="165">
        <v>4212</v>
      </c>
      <c r="M387" s="165">
        <v>10452</v>
      </c>
      <c r="N387" s="164">
        <v>707616</v>
      </c>
      <c r="O387" s="209">
        <v>88452</v>
      </c>
      <c r="P387" s="158"/>
      <c r="Q387" s="158"/>
      <c r="R387" s="309"/>
      <c r="S387" s="171"/>
      <c r="T387" s="171"/>
      <c r="U387" s="171"/>
      <c r="V387" s="171"/>
      <c r="W387" s="171"/>
      <c r="X387" s="171"/>
      <c r="Y387" s="171"/>
      <c r="Z387" s="171"/>
      <c r="AA387" s="171"/>
      <c r="AB387" s="171"/>
      <c r="AC387" s="171"/>
      <c r="AD387" s="171"/>
      <c r="AE387" s="171"/>
      <c r="AF387" s="171"/>
      <c r="AG387" s="171"/>
      <c r="AH387" s="171"/>
      <c r="AI387" s="171"/>
      <c r="AJ387" s="171"/>
      <c r="AK387" s="171"/>
      <c r="AL387" s="171"/>
      <c r="AM387" s="171"/>
      <c r="AN387" s="171"/>
      <c r="AO387" s="171"/>
      <c r="AP387" s="171"/>
      <c r="AQ387" s="171"/>
      <c r="AR387" s="171"/>
      <c r="AS387" s="171"/>
      <c r="AT387" s="171"/>
      <c r="AU387" s="171"/>
      <c r="AV387" s="171"/>
      <c r="AW387" s="171"/>
      <c r="AX387" s="171"/>
      <c r="AY387" s="171"/>
      <c r="AZ387" s="171"/>
      <c r="BA387" s="171"/>
      <c r="BB387" s="171"/>
      <c r="BC387" s="171"/>
      <c r="BD387" s="171"/>
      <c r="BE387" s="171"/>
      <c r="BF387" s="171"/>
      <c r="BG387" s="171"/>
      <c r="BH387" s="171"/>
      <c r="BI387" s="171"/>
      <c r="BJ387" s="171"/>
      <c r="BK387" s="171"/>
      <c r="BL387" s="171"/>
      <c r="BM387" s="171"/>
      <c r="BN387" s="171"/>
      <c r="BO387" s="171"/>
      <c r="BP387" s="171"/>
      <c r="BQ387" s="171"/>
      <c r="BR387" s="171"/>
      <c r="BS387" s="171"/>
      <c r="BT387" s="171"/>
      <c r="BU387" s="171"/>
      <c r="BV387" s="171"/>
      <c r="BW387" s="171"/>
      <c r="BX387" s="171"/>
      <c r="BY387" s="171"/>
      <c r="BZ387" s="171"/>
      <c r="CA387" s="171"/>
      <c r="CB387" s="171"/>
      <c r="CC387" s="171"/>
      <c r="CD387" s="171"/>
      <c r="CE387" s="171"/>
      <c r="CF387" s="171"/>
      <c r="CG387" s="171"/>
      <c r="CH387" s="171"/>
      <c r="CI387" s="171"/>
      <c r="CJ387" s="171"/>
      <c r="CK387" s="171"/>
      <c r="CL387" s="171"/>
      <c r="CM387" s="171"/>
      <c r="CN387" s="171"/>
      <c r="CO387" s="171"/>
      <c r="CP387" s="171"/>
      <c r="CQ387" s="171"/>
      <c r="CR387" s="171"/>
      <c r="CS387" s="171"/>
      <c r="CT387" s="171"/>
      <c r="CU387" s="171"/>
      <c r="CV387" s="171"/>
      <c r="CW387" s="171"/>
      <c r="CX387" s="171"/>
      <c r="CY387" s="171"/>
      <c r="CZ387" s="171"/>
      <c r="DA387" s="171"/>
      <c r="DB387" s="171"/>
      <c r="DC387" s="171"/>
      <c r="DD387" s="171"/>
      <c r="DE387" s="171"/>
      <c r="DF387" s="171"/>
      <c r="DG387" s="171"/>
      <c r="DH387" s="171"/>
      <c r="DI387" s="171"/>
      <c r="DJ387" s="171"/>
      <c r="DK387" s="171"/>
      <c r="DL387" s="171"/>
      <c r="DM387" s="171"/>
      <c r="DN387" s="171"/>
      <c r="DO387" s="171"/>
      <c r="DP387" s="171"/>
      <c r="DQ387" s="171"/>
      <c r="DR387" s="171"/>
      <c r="DS387" s="171"/>
      <c r="DT387" s="171"/>
      <c r="DU387" s="171"/>
      <c r="DV387" s="171"/>
      <c r="DW387" s="171"/>
      <c r="DX387" s="171"/>
      <c r="DY387" s="171"/>
      <c r="DZ387" s="171"/>
      <c r="EA387" s="171"/>
      <c r="EB387" s="171"/>
      <c r="EC387" s="171"/>
      <c r="ED387" s="171"/>
      <c r="EE387" s="171"/>
      <c r="EF387" s="171"/>
      <c r="EG387" s="171"/>
      <c r="EH387" s="171"/>
      <c r="EI387" s="171"/>
      <c r="EJ387" s="171"/>
      <c r="EK387" s="171"/>
      <c r="EL387" s="171"/>
      <c r="EM387" s="171"/>
      <c r="EN387" s="171"/>
      <c r="EO387" s="171"/>
      <c r="EP387" s="171"/>
      <c r="EQ387" s="171"/>
      <c r="ER387" s="171"/>
      <c r="ES387" s="171"/>
      <c r="ET387" s="171"/>
      <c r="EU387" s="171"/>
      <c r="EV387" s="171"/>
      <c r="EW387" s="171"/>
      <c r="EX387" s="171"/>
      <c r="EY387" s="171"/>
      <c r="EZ387" s="171"/>
      <c r="FA387" s="171"/>
      <c r="FB387" s="171"/>
      <c r="FC387" s="171"/>
      <c r="FD387" s="171"/>
      <c r="FE387" s="171"/>
      <c r="FF387" s="171"/>
      <c r="FG387" s="171"/>
      <c r="FH387" s="171"/>
      <c r="FI387" s="171"/>
      <c r="FJ387" s="171"/>
      <c r="FK387" s="171"/>
      <c r="FL387" s="171"/>
      <c r="FM387" s="171"/>
      <c r="FN387" s="171"/>
      <c r="FO387" s="171"/>
      <c r="FP387" s="171"/>
      <c r="FQ387" s="171"/>
      <c r="FR387" s="171"/>
      <c r="FS387" s="171"/>
      <c r="FT387" s="171"/>
      <c r="FU387" s="171"/>
      <c r="FV387" s="171"/>
      <c r="FW387" s="171"/>
      <c r="FX387" s="171"/>
      <c r="FY387" s="171"/>
      <c r="FZ387" s="171"/>
      <c r="GA387" s="171"/>
      <c r="GB387" s="171"/>
      <c r="GC387" s="171"/>
      <c r="GD387" s="171"/>
      <c r="GE387" s="171"/>
      <c r="GF387" s="171"/>
      <c r="GG387" s="171"/>
      <c r="GH387" s="171"/>
      <c r="GI387" s="171"/>
      <c r="GJ387" s="171"/>
      <c r="GK387" s="171"/>
      <c r="GL387" s="171"/>
      <c r="GM387" s="171"/>
      <c r="GN387" s="171"/>
      <c r="GO387" s="171"/>
      <c r="GP387" s="171"/>
      <c r="GQ387" s="171"/>
      <c r="GR387" s="171"/>
      <c r="GS387" s="171"/>
      <c r="GT387" s="171"/>
      <c r="GU387" s="171"/>
      <c r="GV387" s="171"/>
      <c r="GW387" s="171"/>
      <c r="GX387" s="171"/>
      <c r="GY387" s="171"/>
    </row>
    <row r="388" spans="1:207" s="310" customFormat="1" ht="40" outlineLevel="2" x14ac:dyDescent="0.15">
      <c r="A388" s="293" t="s">
        <v>719</v>
      </c>
      <c r="B388" s="155" t="s">
        <v>849</v>
      </c>
      <c r="C388" s="312">
        <v>1</v>
      </c>
      <c r="D388" s="312" t="s">
        <v>1</v>
      </c>
      <c r="E388" s="312">
        <v>65000</v>
      </c>
      <c r="F388" s="165">
        <v>3000</v>
      </c>
      <c r="G388" s="165">
        <v>68000</v>
      </c>
      <c r="H388" s="165">
        <v>0</v>
      </c>
      <c r="I388" s="165">
        <v>8</v>
      </c>
      <c r="J388" s="165">
        <v>8</v>
      </c>
      <c r="K388" s="165">
        <v>5440</v>
      </c>
      <c r="L388" s="165">
        <v>3672</v>
      </c>
      <c r="M388" s="165">
        <v>9112</v>
      </c>
      <c r="N388" s="164">
        <v>77112</v>
      </c>
      <c r="O388" s="209">
        <v>77112</v>
      </c>
      <c r="P388" s="158"/>
      <c r="Q388" s="158"/>
      <c r="R388" s="309"/>
      <c r="S388" s="171"/>
      <c r="T388" s="171"/>
      <c r="U388" s="171"/>
      <c r="V388" s="171"/>
      <c r="W388" s="171"/>
      <c r="X388" s="171"/>
      <c r="Y388" s="171"/>
      <c r="Z388" s="171"/>
      <c r="AA388" s="171"/>
      <c r="AB388" s="171"/>
      <c r="AC388" s="171"/>
      <c r="AD388" s="171"/>
      <c r="AE388" s="171"/>
      <c r="AF388" s="171"/>
      <c r="AG388" s="171"/>
      <c r="AH388" s="171"/>
      <c r="AI388" s="171"/>
      <c r="AJ388" s="171"/>
      <c r="AK388" s="171"/>
      <c r="AL388" s="171"/>
      <c r="AM388" s="171"/>
      <c r="AN388" s="171"/>
      <c r="AO388" s="171"/>
      <c r="AP388" s="171"/>
      <c r="AQ388" s="171"/>
      <c r="AR388" s="171"/>
      <c r="AS388" s="171"/>
      <c r="AT388" s="171"/>
      <c r="AU388" s="171"/>
      <c r="AV388" s="171"/>
      <c r="AW388" s="171"/>
      <c r="AX388" s="171"/>
      <c r="AY388" s="171"/>
      <c r="AZ388" s="171"/>
      <c r="BA388" s="171"/>
      <c r="BB388" s="171"/>
      <c r="BC388" s="171"/>
      <c r="BD388" s="171"/>
      <c r="BE388" s="171"/>
      <c r="BF388" s="171"/>
      <c r="BG388" s="171"/>
      <c r="BH388" s="171"/>
      <c r="BI388" s="171"/>
      <c r="BJ388" s="171"/>
      <c r="BK388" s="171"/>
      <c r="BL388" s="171"/>
      <c r="BM388" s="171"/>
      <c r="BN388" s="171"/>
      <c r="BO388" s="171"/>
      <c r="BP388" s="171"/>
      <c r="BQ388" s="171"/>
      <c r="BR388" s="171"/>
      <c r="BS388" s="171"/>
      <c r="BT388" s="171"/>
      <c r="BU388" s="171"/>
      <c r="BV388" s="171"/>
      <c r="BW388" s="171"/>
      <c r="BX388" s="171"/>
      <c r="BY388" s="171"/>
      <c r="BZ388" s="171"/>
      <c r="CA388" s="171"/>
      <c r="CB388" s="171"/>
      <c r="CC388" s="171"/>
      <c r="CD388" s="171"/>
      <c r="CE388" s="171"/>
      <c r="CF388" s="171"/>
      <c r="CG388" s="171"/>
      <c r="CH388" s="171"/>
      <c r="CI388" s="171"/>
      <c r="CJ388" s="171"/>
      <c r="CK388" s="171"/>
      <c r="CL388" s="171"/>
      <c r="CM388" s="171"/>
      <c r="CN388" s="171"/>
      <c r="CO388" s="171"/>
      <c r="CP388" s="171"/>
      <c r="CQ388" s="171"/>
      <c r="CR388" s="171"/>
      <c r="CS388" s="171"/>
      <c r="CT388" s="171"/>
      <c r="CU388" s="171"/>
      <c r="CV388" s="171"/>
      <c r="CW388" s="171"/>
      <c r="CX388" s="171"/>
      <c r="CY388" s="171"/>
      <c r="CZ388" s="171"/>
      <c r="DA388" s="171"/>
      <c r="DB388" s="171"/>
      <c r="DC388" s="171"/>
      <c r="DD388" s="171"/>
      <c r="DE388" s="171"/>
      <c r="DF388" s="171"/>
      <c r="DG388" s="171"/>
      <c r="DH388" s="171"/>
      <c r="DI388" s="171"/>
      <c r="DJ388" s="171"/>
      <c r="DK388" s="171"/>
      <c r="DL388" s="171"/>
      <c r="DM388" s="171"/>
      <c r="DN388" s="171"/>
      <c r="DO388" s="171"/>
      <c r="DP388" s="171"/>
      <c r="DQ388" s="171"/>
      <c r="DR388" s="171"/>
      <c r="DS388" s="171"/>
      <c r="DT388" s="171"/>
      <c r="DU388" s="171"/>
      <c r="DV388" s="171"/>
      <c r="DW388" s="171"/>
      <c r="DX388" s="171"/>
      <c r="DY388" s="171"/>
      <c r="DZ388" s="171"/>
      <c r="EA388" s="171"/>
      <c r="EB388" s="171"/>
      <c r="EC388" s="171"/>
      <c r="ED388" s="171"/>
      <c r="EE388" s="171"/>
      <c r="EF388" s="171"/>
      <c r="EG388" s="171"/>
      <c r="EH388" s="171"/>
      <c r="EI388" s="171"/>
      <c r="EJ388" s="171"/>
      <c r="EK388" s="171"/>
      <c r="EL388" s="171"/>
      <c r="EM388" s="171"/>
      <c r="EN388" s="171"/>
      <c r="EO388" s="171"/>
      <c r="EP388" s="171"/>
      <c r="EQ388" s="171"/>
      <c r="ER388" s="171"/>
      <c r="ES388" s="171"/>
      <c r="ET388" s="171"/>
      <c r="EU388" s="171"/>
      <c r="EV388" s="171"/>
      <c r="EW388" s="171"/>
      <c r="EX388" s="171"/>
      <c r="EY388" s="171"/>
      <c r="EZ388" s="171"/>
      <c r="FA388" s="171"/>
      <c r="FB388" s="171"/>
      <c r="FC388" s="171"/>
      <c r="FD388" s="171"/>
      <c r="FE388" s="171"/>
      <c r="FF388" s="171"/>
      <c r="FG388" s="171"/>
      <c r="FH388" s="171"/>
      <c r="FI388" s="171"/>
      <c r="FJ388" s="171"/>
      <c r="FK388" s="171"/>
      <c r="FL388" s="171"/>
      <c r="FM388" s="171"/>
      <c r="FN388" s="171"/>
      <c r="FO388" s="171"/>
      <c r="FP388" s="171"/>
      <c r="FQ388" s="171"/>
      <c r="FR388" s="171"/>
      <c r="FS388" s="171"/>
      <c r="FT388" s="171"/>
      <c r="FU388" s="171"/>
      <c r="FV388" s="171"/>
      <c r="FW388" s="171"/>
      <c r="FX388" s="171"/>
      <c r="FY388" s="171"/>
      <c r="FZ388" s="171"/>
      <c r="GA388" s="171"/>
      <c r="GB388" s="171"/>
      <c r="GC388" s="171"/>
      <c r="GD388" s="171"/>
      <c r="GE388" s="171"/>
      <c r="GF388" s="171"/>
      <c r="GG388" s="171"/>
      <c r="GH388" s="171"/>
      <c r="GI388" s="171"/>
      <c r="GJ388" s="171"/>
      <c r="GK388" s="171"/>
      <c r="GL388" s="171"/>
      <c r="GM388" s="171"/>
      <c r="GN388" s="171"/>
      <c r="GO388" s="171"/>
      <c r="GP388" s="171"/>
      <c r="GQ388" s="171"/>
      <c r="GR388" s="171"/>
      <c r="GS388" s="171"/>
      <c r="GT388" s="171"/>
      <c r="GU388" s="171"/>
      <c r="GV388" s="171"/>
      <c r="GW388" s="171"/>
      <c r="GX388" s="171"/>
      <c r="GY388" s="171"/>
    </row>
    <row r="389" spans="1:207" s="310" customFormat="1" ht="40" outlineLevel="2" x14ac:dyDescent="0.15">
      <c r="A389" s="293" t="s">
        <v>720</v>
      </c>
      <c r="B389" s="155" t="s">
        <v>850</v>
      </c>
      <c r="C389" s="312">
        <v>48</v>
      </c>
      <c r="D389" s="312" t="s">
        <v>1</v>
      </c>
      <c r="E389" s="312">
        <v>58000</v>
      </c>
      <c r="F389" s="165">
        <v>2000</v>
      </c>
      <c r="G389" s="165">
        <v>60000</v>
      </c>
      <c r="H389" s="165">
        <v>0</v>
      </c>
      <c r="I389" s="165">
        <v>8</v>
      </c>
      <c r="J389" s="165">
        <v>8</v>
      </c>
      <c r="K389" s="165">
        <v>4800</v>
      </c>
      <c r="L389" s="165">
        <v>3240</v>
      </c>
      <c r="M389" s="165">
        <v>8040</v>
      </c>
      <c r="N389" s="164">
        <v>3265920</v>
      </c>
      <c r="O389" s="209">
        <v>68040</v>
      </c>
      <c r="P389" s="158"/>
      <c r="Q389" s="158"/>
      <c r="R389" s="309"/>
      <c r="S389" s="171"/>
      <c r="T389" s="171"/>
      <c r="U389" s="171"/>
      <c r="V389" s="171"/>
      <c r="W389" s="171"/>
      <c r="X389" s="171"/>
      <c r="Y389" s="171"/>
      <c r="Z389" s="171"/>
      <c r="AA389" s="171"/>
      <c r="AB389" s="171"/>
      <c r="AC389" s="171"/>
      <c r="AD389" s="171"/>
      <c r="AE389" s="171"/>
      <c r="AF389" s="171"/>
      <c r="AG389" s="171"/>
      <c r="AH389" s="171"/>
      <c r="AI389" s="171"/>
      <c r="AJ389" s="171"/>
      <c r="AK389" s="171"/>
      <c r="AL389" s="171"/>
      <c r="AM389" s="171"/>
      <c r="AN389" s="171"/>
      <c r="AO389" s="171"/>
      <c r="AP389" s="171"/>
      <c r="AQ389" s="171"/>
      <c r="AR389" s="171"/>
      <c r="AS389" s="171"/>
      <c r="AT389" s="171"/>
      <c r="AU389" s="171"/>
      <c r="AV389" s="171"/>
      <c r="AW389" s="171"/>
      <c r="AX389" s="171"/>
      <c r="AY389" s="171"/>
      <c r="AZ389" s="171"/>
      <c r="BA389" s="171"/>
      <c r="BB389" s="171"/>
      <c r="BC389" s="171"/>
      <c r="BD389" s="171"/>
      <c r="BE389" s="171"/>
      <c r="BF389" s="171"/>
      <c r="BG389" s="171"/>
      <c r="BH389" s="171"/>
      <c r="BI389" s="171"/>
      <c r="BJ389" s="171"/>
      <c r="BK389" s="171"/>
      <c r="BL389" s="171"/>
      <c r="BM389" s="171"/>
      <c r="BN389" s="171"/>
      <c r="BO389" s="171"/>
      <c r="BP389" s="171"/>
      <c r="BQ389" s="171"/>
      <c r="BR389" s="171"/>
      <c r="BS389" s="171"/>
      <c r="BT389" s="171"/>
      <c r="BU389" s="171"/>
      <c r="BV389" s="171"/>
      <c r="BW389" s="171"/>
      <c r="BX389" s="171"/>
      <c r="BY389" s="171"/>
      <c r="BZ389" s="171"/>
      <c r="CA389" s="171"/>
      <c r="CB389" s="171"/>
      <c r="CC389" s="171"/>
      <c r="CD389" s="171"/>
      <c r="CE389" s="171"/>
      <c r="CF389" s="171"/>
      <c r="CG389" s="171"/>
      <c r="CH389" s="171"/>
      <c r="CI389" s="171"/>
      <c r="CJ389" s="171"/>
      <c r="CK389" s="171"/>
      <c r="CL389" s="171"/>
      <c r="CM389" s="171"/>
      <c r="CN389" s="171"/>
      <c r="CO389" s="171"/>
      <c r="CP389" s="171"/>
      <c r="CQ389" s="171"/>
      <c r="CR389" s="171"/>
      <c r="CS389" s="171"/>
      <c r="CT389" s="171"/>
      <c r="CU389" s="171"/>
      <c r="CV389" s="171"/>
      <c r="CW389" s="171"/>
      <c r="CX389" s="171"/>
      <c r="CY389" s="171"/>
      <c r="CZ389" s="171"/>
      <c r="DA389" s="171"/>
      <c r="DB389" s="171"/>
      <c r="DC389" s="171"/>
      <c r="DD389" s="171"/>
      <c r="DE389" s="171"/>
      <c r="DF389" s="171"/>
      <c r="DG389" s="171"/>
      <c r="DH389" s="171"/>
      <c r="DI389" s="171"/>
      <c r="DJ389" s="171"/>
      <c r="DK389" s="171"/>
      <c r="DL389" s="171"/>
      <c r="DM389" s="171"/>
      <c r="DN389" s="171"/>
      <c r="DO389" s="171"/>
      <c r="DP389" s="171"/>
      <c r="DQ389" s="171"/>
      <c r="DR389" s="171"/>
      <c r="DS389" s="171"/>
      <c r="DT389" s="171"/>
      <c r="DU389" s="171"/>
      <c r="DV389" s="171"/>
      <c r="DW389" s="171"/>
      <c r="DX389" s="171"/>
      <c r="DY389" s="171"/>
      <c r="DZ389" s="171"/>
      <c r="EA389" s="171"/>
      <c r="EB389" s="171"/>
      <c r="EC389" s="171"/>
      <c r="ED389" s="171"/>
      <c r="EE389" s="171"/>
      <c r="EF389" s="171"/>
      <c r="EG389" s="171"/>
      <c r="EH389" s="171"/>
      <c r="EI389" s="171"/>
      <c r="EJ389" s="171"/>
      <c r="EK389" s="171"/>
      <c r="EL389" s="171"/>
      <c r="EM389" s="171"/>
      <c r="EN389" s="171"/>
      <c r="EO389" s="171"/>
      <c r="EP389" s="171"/>
      <c r="EQ389" s="171"/>
      <c r="ER389" s="171"/>
      <c r="ES389" s="171"/>
      <c r="ET389" s="171"/>
      <c r="EU389" s="171"/>
      <c r="EV389" s="171"/>
      <c r="EW389" s="171"/>
      <c r="EX389" s="171"/>
      <c r="EY389" s="171"/>
      <c r="EZ389" s="171"/>
      <c r="FA389" s="171"/>
      <c r="FB389" s="171"/>
      <c r="FC389" s="171"/>
      <c r="FD389" s="171"/>
      <c r="FE389" s="171"/>
      <c r="FF389" s="171"/>
      <c r="FG389" s="171"/>
      <c r="FH389" s="171"/>
      <c r="FI389" s="171"/>
      <c r="FJ389" s="171"/>
      <c r="FK389" s="171"/>
      <c r="FL389" s="171"/>
      <c r="FM389" s="171"/>
      <c r="FN389" s="171"/>
      <c r="FO389" s="171"/>
      <c r="FP389" s="171"/>
      <c r="FQ389" s="171"/>
      <c r="FR389" s="171"/>
      <c r="FS389" s="171"/>
      <c r="FT389" s="171"/>
      <c r="FU389" s="171"/>
      <c r="FV389" s="171"/>
      <c r="FW389" s="171"/>
      <c r="FX389" s="171"/>
      <c r="FY389" s="171"/>
      <c r="FZ389" s="171"/>
      <c r="GA389" s="171"/>
      <c r="GB389" s="171"/>
      <c r="GC389" s="171"/>
      <c r="GD389" s="171"/>
      <c r="GE389" s="171"/>
      <c r="GF389" s="171"/>
      <c r="GG389" s="171"/>
      <c r="GH389" s="171"/>
      <c r="GI389" s="171"/>
      <c r="GJ389" s="171"/>
      <c r="GK389" s="171"/>
      <c r="GL389" s="171"/>
      <c r="GM389" s="171"/>
      <c r="GN389" s="171"/>
      <c r="GO389" s="171"/>
      <c r="GP389" s="171"/>
      <c r="GQ389" s="171"/>
      <c r="GR389" s="171"/>
      <c r="GS389" s="171"/>
      <c r="GT389" s="171"/>
      <c r="GU389" s="171"/>
      <c r="GV389" s="171"/>
      <c r="GW389" s="171"/>
      <c r="GX389" s="171"/>
      <c r="GY389" s="171"/>
    </row>
    <row r="390" spans="1:207" s="310" customFormat="1" ht="40" outlineLevel="2" x14ac:dyDescent="0.15">
      <c r="A390" s="293" t="s">
        <v>721</v>
      </c>
      <c r="B390" s="155" t="s">
        <v>851</v>
      </c>
      <c r="C390" s="312">
        <v>2</v>
      </c>
      <c r="D390" s="312" t="s">
        <v>1</v>
      </c>
      <c r="E390" s="312">
        <v>45000</v>
      </c>
      <c r="F390" s="165">
        <v>2000</v>
      </c>
      <c r="G390" s="165">
        <v>47000</v>
      </c>
      <c r="H390" s="165">
        <v>0</v>
      </c>
      <c r="I390" s="165">
        <v>8</v>
      </c>
      <c r="J390" s="165">
        <v>8</v>
      </c>
      <c r="K390" s="165">
        <v>3760</v>
      </c>
      <c r="L390" s="165">
        <v>2538</v>
      </c>
      <c r="M390" s="165">
        <v>6298</v>
      </c>
      <c r="N390" s="164">
        <v>106596</v>
      </c>
      <c r="O390" s="209">
        <v>53298</v>
      </c>
      <c r="P390" s="158"/>
      <c r="Q390" s="158"/>
      <c r="R390" s="309"/>
      <c r="S390" s="171"/>
      <c r="T390" s="171"/>
      <c r="U390" s="171"/>
      <c r="V390" s="171"/>
      <c r="W390" s="171"/>
      <c r="X390" s="171"/>
      <c r="Y390" s="171"/>
      <c r="Z390" s="171"/>
      <c r="AA390" s="171"/>
      <c r="AB390" s="171"/>
      <c r="AC390" s="171"/>
      <c r="AD390" s="171"/>
      <c r="AE390" s="171"/>
      <c r="AF390" s="171"/>
      <c r="AG390" s="171"/>
      <c r="AH390" s="171"/>
      <c r="AI390" s="171"/>
      <c r="AJ390" s="171"/>
      <c r="AK390" s="171"/>
      <c r="AL390" s="171"/>
      <c r="AM390" s="171"/>
      <c r="AN390" s="171"/>
      <c r="AO390" s="171"/>
      <c r="AP390" s="171"/>
      <c r="AQ390" s="171"/>
      <c r="AR390" s="171"/>
      <c r="AS390" s="171"/>
      <c r="AT390" s="171"/>
      <c r="AU390" s="171"/>
      <c r="AV390" s="171"/>
      <c r="AW390" s="171"/>
      <c r="AX390" s="171"/>
      <c r="AY390" s="171"/>
      <c r="AZ390" s="171"/>
      <c r="BA390" s="171"/>
      <c r="BB390" s="171"/>
      <c r="BC390" s="171"/>
      <c r="BD390" s="171"/>
      <c r="BE390" s="171"/>
      <c r="BF390" s="171"/>
      <c r="BG390" s="171"/>
      <c r="BH390" s="171"/>
      <c r="BI390" s="171"/>
      <c r="BJ390" s="171"/>
      <c r="BK390" s="171"/>
      <c r="BL390" s="171"/>
      <c r="BM390" s="171"/>
      <c r="BN390" s="171"/>
      <c r="BO390" s="171"/>
      <c r="BP390" s="171"/>
      <c r="BQ390" s="171"/>
      <c r="BR390" s="171"/>
      <c r="BS390" s="171"/>
      <c r="BT390" s="171"/>
      <c r="BU390" s="171"/>
      <c r="BV390" s="171"/>
      <c r="BW390" s="171"/>
      <c r="BX390" s="171"/>
      <c r="BY390" s="171"/>
      <c r="BZ390" s="171"/>
      <c r="CA390" s="171"/>
      <c r="CB390" s="171"/>
      <c r="CC390" s="171"/>
      <c r="CD390" s="171"/>
      <c r="CE390" s="171"/>
      <c r="CF390" s="171"/>
      <c r="CG390" s="171"/>
      <c r="CH390" s="171"/>
      <c r="CI390" s="171"/>
      <c r="CJ390" s="171"/>
      <c r="CK390" s="171"/>
      <c r="CL390" s="171"/>
      <c r="CM390" s="171"/>
      <c r="CN390" s="171"/>
      <c r="CO390" s="171"/>
      <c r="CP390" s="171"/>
      <c r="CQ390" s="171"/>
      <c r="CR390" s="171"/>
      <c r="CS390" s="171"/>
      <c r="CT390" s="171"/>
      <c r="CU390" s="171"/>
      <c r="CV390" s="171"/>
      <c r="CW390" s="171"/>
      <c r="CX390" s="171"/>
      <c r="CY390" s="171"/>
      <c r="CZ390" s="171"/>
      <c r="DA390" s="171"/>
      <c r="DB390" s="171"/>
      <c r="DC390" s="171"/>
      <c r="DD390" s="171"/>
      <c r="DE390" s="171"/>
      <c r="DF390" s="171"/>
      <c r="DG390" s="171"/>
      <c r="DH390" s="171"/>
      <c r="DI390" s="171"/>
      <c r="DJ390" s="171"/>
      <c r="DK390" s="171"/>
      <c r="DL390" s="171"/>
      <c r="DM390" s="171"/>
      <c r="DN390" s="171"/>
      <c r="DO390" s="171"/>
      <c r="DP390" s="171"/>
      <c r="DQ390" s="171"/>
      <c r="DR390" s="171"/>
      <c r="DS390" s="171"/>
      <c r="DT390" s="171"/>
      <c r="DU390" s="171"/>
      <c r="DV390" s="171"/>
      <c r="DW390" s="171"/>
      <c r="DX390" s="171"/>
      <c r="DY390" s="171"/>
      <c r="DZ390" s="171"/>
      <c r="EA390" s="171"/>
      <c r="EB390" s="171"/>
      <c r="EC390" s="171"/>
      <c r="ED390" s="171"/>
      <c r="EE390" s="171"/>
      <c r="EF390" s="171"/>
      <c r="EG390" s="171"/>
      <c r="EH390" s="171"/>
      <c r="EI390" s="171"/>
      <c r="EJ390" s="171"/>
      <c r="EK390" s="171"/>
      <c r="EL390" s="171"/>
      <c r="EM390" s="171"/>
      <c r="EN390" s="171"/>
      <c r="EO390" s="171"/>
      <c r="EP390" s="171"/>
      <c r="EQ390" s="171"/>
      <c r="ER390" s="171"/>
      <c r="ES390" s="171"/>
      <c r="ET390" s="171"/>
      <c r="EU390" s="171"/>
      <c r="EV390" s="171"/>
      <c r="EW390" s="171"/>
      <c r="EX390" s="171"/>
      <c r="EY390" s="171"/>
      <c r="EZ390" s="171"/>
      <c r="FA390" s="171"/>
      <c r="FB390" s="171"/>
      <c r="FC390" s="171"/>
      <c r="FD390" s="171"/>
      <c r="FE390" s="171"/>
      <c r="FF390" s="171"/>
      <c r="FG390" s="171"/>
      <c r="FH390" s="171"/>
      <c r="FI390" s="171"/>
      <c r="FJ390" s="171"/>
      <c r="FK390" s="171"/>
      <c r="FL390" s="171"/>
      <c r="FM390" s="171"/>
      <c r="FN390" s="171"/>
      <c r="FO390" s="171"/>
      <c r="FP390" s="171"/>
      <c r="FQ390" s="171"/>
      <c r="FR390" s="171"/>
      <c r="FS390" s="171"/>
      <c r="FT390" s="171"/>
      <c r="FU390" s="171"/>
      <c r="FV390" s="171"/>
      <c r="FW390" s="171"/>
      <c r="FX390" s="171"/>
      <c r="FY390" s="171"/>
      <c r="FZ390" s="171"/>
      <c r="GA390" s="171"/>
      <c r="GB390" s="171"/>
      <c r="GC390" s="171"/>
      <c r="GD390" s="171"/>
      <c r="GE390" s="171"/>
      <c r="GF390" s="171"/>
      <c r="GG390" s="171"/>
      <c r="GH390" s="171"/>
      <c r="GI390" s="171"/>
      <c r="GJ390" s="171"/>
      <c r="GK390" s="171"/>
      <c r="GL390" s="171"/>
      <c r="GM390" s="171"/>
      <c r="GN390" s="171"/>
      <c r="GO390" s="171"/>
      <c r="GP390" s="171"/>
      <c r="GQ390" s="171"/>
      <c r="GR390" s="171"/>
      <c r="GS390" s="171"/>
      <c r="GT390" s="171"/>
      <c r="GU390" s="171"/>
      <c r="GV390" s="171"/>
      <c r="GW390" s="171"/>
      <c r="GX390" s="171"/>
      <c r="GY390" s="171"/>
    </row>
    <row r="391" spans="1:207" s="105" customFormat="1" ht="40" x14ac:dyDescent="0.15">
      <c r="A391" s="293" t="s">
        <v>722</v>
      </c>
      <c r="B391" s="215" t="s">
        <v>846</v>
      </c>
      <c r="C391" s="110">
        <v>40</v>
      </c>
      <c r="D391" s="111" t="s">
        <v>1</v>
      </c>
      <c r="E391" s="110">
        <v>600</v>
      </c>
      <c r="F391" s="112">
        <v>1000</v>
      </c>
      <c r="G391" s="118">
        <v>1600</v>
      </c>
      <c r="H391" s="114">
        <v>6</v>
      </c>
      <c r="I391" s="114">
        <v>8</v>
      </c>
      <c r="J391" s="114">
        <v>14</v>
      </c>
      <c r="K391" s="114">
        <v>224.00000000000003</v>
      </c>
      <c r="L391" s="114">
        <v>91.2</v>
      </c>
      <c r="M391" s="114">
        <v>315.20000000000005</v>
      </c>
      <c r="N391" s="115">
        <v>76608</v>
      </c>
      <c r="O391" s="116">
        <v>1915.2</v>
      </c>
    </row>
    <row r="392" spans="1:207" s="105" customFormat="1" ht="19" x14ac:dyDescent="0.2">
      <c r="A392" s="201"/>
      <c r="B392" s="200"/>
      <c r="C392" s="112"/>
      <c r="D392" s="111"/>
      <c r="E392" s="112"/>
      <c r="F392" s="112"/>
      <c r="G392" s="127"/>
      <c r="H392" s="119"/>
      <c r="I392" s="119"/>
      <c r="J392" s="114"/>
      <c r="K392" s="114"/>
      <c r="L392" s="114"/>
      <c r="M392" s="191" t="s">
        <v>343</v>
      </c>
      <c r="N392" s="120">
        <v>4327974</v>
      </c>
      <c r="O392" s="199"/>
    </row>
    <row r="393" spans="1:207" s="6" customFormat="1" ht="18.75" customHeight="1" x14ac:dyDescent="0.25">
      <c r="A393" s="193">
        <v>14</v>
      </c>
      <c r="B393" s="274" t="s">
        <v>546</v>
      </c>
      <c r="C393" s="275"/>
      <c r="D393" s="276"/>
      <c r="E393" s="277"/>
      <c r="F393" s="278"/>
      <c r="G393" s="125"/>
      <c r="H393" s="125"/>
      <c r="I393" s="125"/>
      <c r="J393" s="125"/>
      <c r="K393" s="125"/>
      <c r="L393" s="125"/>
      <c r="M393" s="125"/>
      <c r="N393" s="152"/>
      <c r="O393" s="279"/>
    </row>
    <row r="394" spans="1:207" s="6" customFormat="1" ht="18.75" customHeight="1" x14ac:dyDescent="0.25">
      <c r="A394" s="198">
        <v>14.1</v>
      </c>
      <c r="B394" s="280" t="s">
        <v>547</v>
      </c>
      <c r="C394" s="281"/>
      <c r="D394" s="163"/>
      <c r="E394" s="163"/>
      <c r="F394" s="141"/>
      <c r="G394" s="267"/>
      <c r="H394" s="267"/>
      <c r="I394" s="267"/>
      <c r="J394" s="267"/>
      <c r="K394" s="267"/>
      <c r="L394" s="267"/>
      <c r="M394" s="267"/>
      <c r="N394" s="268"/>
      <c r="O394" s="282"/>
    </row>
    <row r="395" spans="1:207" s="139" customFormat="1" ht="21" x14ac:dyDescent="0.15">
      <c r="A395" s="293" t="s">
        <v>657</v>
      </c>
      <c r="B395" s="155" t="s">
        <v>549</v>
      </c>
      <c r="C395" s="164">
        <v>428</v>
      </c>
      <c r="D395" s="163" t="s">
        <v>352</v>
      </c>
      <c r="E395" s="161">
        <v>200</v>
      </c>
      <c r="F395" s="161">
        <v>50</v>
      </c>
      <c r="G395" s="118">
        <v>250</v>
      </c>
      <c r="H395" s="114">
        <v>6</v>
      </c>
      <c r="I395" s="114">
        <v>8</v>
      </c>
      <c r="J395" s="114">
        <v>14</v>
      </c>
      <c r="K395" s="114">
        <v>35</v>
      </c>
      <c r="L395" s="114">
        <v>14.25</v>
      </c>
      <c r="M395" s="114">
        <v>49.25</v>
      </c>
      <c r="N395" s="115">
        <v>128079</v>
      </c>
      <c r="O395" s="116">
        <v>299.25</v>
      </c>
    </row>
    <row r="396" spans="1:207" s="139" customFormat="1" ht="21" x14ac:dyDescent="0.15">
      <c r="A396" s="293" t="s">
        <v>658</v>
      </c>
      <c r="B396" s="155" t="s">
        <v>550</v>
      </c>
      <c r="C396" s="164">
        <v>570</v>
      </c>
      <c r="D396" s="163" t="s">
        <v>352</v>
      </c>
      <c r="E396" s="161">
        <v>150</v>
      </c>
      <c r="F396" s="161">
        <v>50</v>
      </c>
      <c r="G396" s="118">
        <v>200</v>
      </c>
      <c r="H396" s="114">
        <v>6</v>
      </c>
      <c r="I396" s="114">
        <v>8</v>
      </c>
      <c r="J396" s="114">
        <v>14</v>
      </c>
      <c r="K396" s="114">
        <v>28.000000000000004</v>
      </c>
      <c r="L396" s="114">
        <v>11.4</v>
      </c>
      <c r="M396" s="114">
        <v>39.400000000000006</v>
      </c>
      <c r="N396" s="115">
        <v>136458</v>
      </c>
      <c r="O396" s="116">
        <v>239.4</v>
      </c>
    </row>
    <row r="397" spans="1:207" s="139" customFormat="1" ht="21" x14ac:dyDescent="0.15">
      <c r="A397" s="293" t="s">
        <v>659</v>
      </c>
      <c r="B397" s="155" t="s">
        <v>551</v>
      </c>
      <c r="C397" s="164">
        <v>420</v>
      </c>
      <c r="D397" s="163" t="s">
        <v>352</v>
      </c>
      <c r="E397" s="161">
        <v>200</v>
      </c>
      <c r="F397" s="161">
        <v>50</v>
      </c>
      <c r="G397" s="118">
        <v>250</v>
      </c>
      <c r="H397" s="114">
        <v>6</v>
      </c>
      <c r="I397" s="114">
        <v>8</v>
      </c>
      <c r="J397" s="114">
        <v>14</v>
      </c>
      <c r="K397" s="114">
        <v>35</v>
      </c>
      <c r="L397" s="114">
        <v>14.25</v>
      </c>
      <c r="M397" s="114">
        <v>49.25</v>
      </c>
      <c r="N397" s="115">
        <v>125685</v>
      </c>
      <c r="O397" s="116">
        <v>299.25</v>
      </c>
    </row>
    <row r="398" spans="1:207" s="6" customFormat="1" ht="18.75" customHeight="1" x14ac:dyDescent="0.25">
      <c r="A398" s="293" t="s">
        <v>660</v>
      </c>
      <c r="B398" s="154" t="s">
        <v>552</v>
      </c>
      <c r="C398" s="283">
        <v>1</v>
      </c>
      <c r="D398" s="163" t="s">
        <v>5</v>
      </c>
      <c r="E398" s="284">
        <v>5000</v>
      </c>
      <c r="F398" s="141">
        <v>5000</v>
      </c>
      <c r="G398" s="118">
        <v>10000</v>
      </c>
      <c r="H398" s="114">
        <v>6</v>
      </c>
      <c r="I398" s="114">
        <v>8</v>
      </c>
      <c r="J398" s="114">
        <v>14</v>
      </c>
      <c r="K398" s="114">
        <v>1400.0000000000002</v>
      </c>
      <c r="L398" s="114">
        <v>570</v>
      </c>
      <c r="M398" s="114">
        <v>1970.0000000000002</v>
      </c>
      <c r="N398" s="115">
        <v>11970</v>
      </c>
      <c r="O398" s="116">
        <v>11970</v>
      </c>
    </row>
    <row r="399" spans="1:207" s="105" customFormat="1" ht="19" x14ac:dyDescent="0.2">
      <c r="A399" s="201"/>
      <c r="B399" s="200"/>
      <c r="C399" s="112"/>
      <c r="D399" s="111"/>
      <c r="E399" s="112"/>
      <c r="F399" s="112"/>
      <c r="G399" s="127"/>
      <c r="H399" s="119"/>
      <c r="I399" s="119"/>
      <c r="J399" s="114"/>
      <c r="K399" s="114"/>
      <c r="L399" s="114"/>
      <c r="M399" s="191" t="s">
        <v>343</v>
      </c>
      <c r="N399" s="120">
        <v>402192</v>
      </c>
      <c r="O399" s="199"/>
    </row>
    <row r="400" spans="1:207" ht="18" customHeight="1" x14ac:dyDescent="0.2">
      <c r="A400" s="853" t="s">
        <v>233</v>
      </c>
      <c r="B400" s="854"/>
      <c r="C400" s="855">
        <v>59994245.022500001</v>
      </c>
      <c r="D400" s="855"/>
      <c r="E400" s="855"/>
      <c r="F400" s="855"/>
      <c r="G400" s="855"/>
      <c r="H400" s="855"/>
      <c r="I400" s="855"/>
      <c r="J400" s="855"/>
      <c r="K400" s="855"/>
      <c r="L400" s="855"/>
      <c r="M400" s="855"/>
      <c r="N400" s="855"/>
      <c r="O400" s="129"/>
    </row>
    <row r="401" spans="1:15" ht="18.75" customHeight="1" thickBot="1" x14ac:dyDescent="0.3">
      <c r="A401" s="856" t="s">
        <v>234</v>
      </c>
      <c r="B401" s="857"/>
      <c r="C401" s="858" t="s">
        <v>887</v>
      </c>
      <c r="D401" s="858"/>
      <c r="E401" s="858"/>
      <c r="F401" s="858"/>
      <c r="G401" s="858"/>
      <c r="H401" s="858"/>
      <c r="I401" s="858"/>
      <c r="J401" s="858"/>
      <c r="K401" s="858"/>
      <c r="L401" s="858"/>
      <c r="M401" s="858"/>
      <c r="N401" s="858"/>
      <c r="O401" s="130"/>
    </row>
    <row r="402" spans="1:15" ht="19" x14ac:dyDescent="0.25">
      <c r="A402" s="131"/>
      <c r="B402" s="329"/>
      <c r="C402" s="330"/>
      <c r="D402" s="330"/>
      <c r="E402" s="330"/>
      <c r="F402" s="330"/>
      <c r="G402" s="330"/>
      <c r="H402" s="330"/>
      <c r="I402" s="330"/>
      <c r="J402" s="330"/>
      <c r="K402" s="330"/>
      <c r="L402" s="330"/>
      <c r="M402" s="330"/>
      <c r="N402" s="330"/>
      <c r="O402" s="331"/>
    </row>
    <row r="403" spans="1:15" ht="20" x14ac:dyDescent="0.25">
      <c r="A403" s="319" t="s">
        <v>51</v>
      </c>
      <c r="B403" s="179"/>
      <c r="C403" s="132"/>
      <c r="D403" s="132"/>
      <c r="E403" s="132"/>
      <c r="F403" s="132"/>
      <c r="G403" s="132"/>
      <c r="H403" s="132"/>
      <c r="I403" s="132"/>
      <c r="J403" s="132"/>
      <c r="K403" s="132"/>
      <c r="L403" s="132"/>
      <c r="M403" s="132"/>
      <c r="N403" s="132"/>
      <c r="O403" s="133"/>
    </row>
    <row r="404" spans="1:15" ht="21" x14ac:dyDescent="0.25">
      <c r="A404" s="242" t="s">
        <v>207</v>
      </c>
      <c r="B404" s="258"/>
      <c r="C404" s="246"/>
      <c r="D404" s="332"/>
      <c r="E404" s="246"/>
      <c r="F404" s="246"/>
      <c r="G404" s="247"/>
      <c r="H404" s="247"/>
      <c r="I404" s="247"/>
      <c r="J404" s="247"/>
      <c r="K404" s="333"/>
      <c r="L404" s="333"/>
      <c r="M404" s="333"/>
      <c r="N404" s="333"/>
      <c r="O404" s="333"/>
    </row>
    <row r="405" spans="1:15" ht="21" x14ac:dyDescent="0.25">
      <c r="A405" s="242"/>
      <c r="B405" s="258"/>
      <c r="C405" s="246"/>
      <c r="D405" s="332"/>
      <c r="E405" s="246"/>
      <c r="F405" s="246"/>
      <c r="G405" s="247"/>
      <c r="H405" s="247"/>
      <c r="I405" s="247"/>
      <c r="J405" s="247"/>
      <c r="K405" s="333"/>
      <c r="L405" s="333"/>
      <c r="M405" s="333"/>
      <c r="N405" s="333"/>
      <c r="O405" s="333"/>
    </row>
    <row r="406" spans="1:15" ht="21" x14ac:dyDescent="0.25">
      <c r="A406" s="242"/>
      <c r="B406" s="243"/>
      <c r="C406" s="244"/>
      <c r="D406" s="245"/>
      <c r="E406" s="246"/>
      <c r="F406" s="247"/>
      <c r="G406" s="248"/>
      <c r="H406" s="248"/>
      <c r="I406" s="247"/>
      <c r="J406" s="247"/>
      <c r="K406" s="333"/>
      <c r="L406" s="333"/>
      <c r="M406" s="333"/>
      <c r="N406" s="333"/>
      <c r="O406" s="333"/>
    </row>
    <row r="407" spans="1:15" ht="21" x14ac:dyDescent="0.25">
      <c r="A407" s="249" t="s">
        <v>595</v>
      </c>
      <c r="B407" s="334"/>
      <c r="C407" s="250" t="s">
        <v>483</v>
      </c>
      <c r="H407" s="249" t="s">
        <v>885</v>
      </c>
      <c r="I407" s="251"/>
      <c r="J407" s="335"/>
      <c r="K407" s="247"/>
      <c r="L407" s="250" t="s">
        <v>484</v>
      </c>
      <c r="N407" s="333"/>
      <c r="O407" s="333"/>
    </row>
    <row r="408" spans="1:15" ht="21" x14ac:dyDescent="0.25">
      <c r="A408" s="252" t="s">
        <v>373</v>
      </c>
      <c r="B408" s="336"/>
      <c r="C408" s="252" t="s">
        <v>373</v>
      </c>
      <c r="H408" s="252" t="s">
        <v>886</v>
      </c>
      <c r="I408" s="253"/>
      <c r="J408" s="337"/>
      <c r="K408" s="247"/>
      <c r="L408" s="254" t="s">
        <v>94</v>
      </c>
      <c r="N408" s="333"/>
      <c r="O408" s="333"/>
    </row>
    <row r="409" spans="1:15" ht="21" x14ac:dyDescent="0.25">
      <c r="A409" s="252"/>
      <c r="B409" s="336"/>
      <c r="C409" s="254"/>
      <c r="D409" s="253"/>
      <c r="E409" s="337"/>
      <c r="F409" s="247"/>
      <c r="G409" s="248"/>
      <c r="H409" s="248"/>
      <c r="I409" s="247"/>
      <c r="J409" s="247"/>
      <c r="K409" s="333"/>
      <c r="L409" s="333"/>
      <c r="M409" s="333"/>
      <c r="N409" s="333"/>
      <c r="O409" s="333"/>
    </row>
    <row r="410" spans="1:15" ht="21" x14ac:dyDescent="0.25">
      <c r="A410" s="252"/>
      <c r="B410" s="336"/>
      <c r="C410" s="254"/>
      <c r="D410" s="253"/>
      <c r="E410" s="337"/>
      <c r="F410" s="247"/>
      <c r="G410" s="248"/>
      <c r="H410" s="248"/>
      <c r="I410" s="247"/>
      <c r="J410" s="247"/>
      <c r="K410" s="333"/>
      <c r="L410" s="333"/>
      <c r="M410" s="333"/>
      <c r="N410" s="333"/>
      <c r="O410" s="333"/>
    </row>
    <row r="411" spans="1:15" ht="21" x14ac:dyDescent="0.25">
      <c r="A411" s="252"/>
      <c r="B411" s="336"/>
      <c r="C411" s="254"/>
      <c r="D411" s="253"/>
      <c r="E411" s="337"/>
      <c r="F411" s="247"/>
      <c r="G411" s="248"/>
      <c r="H411" s="248"/>
      <c r="I411" s="247"/>
      <c r="J411" s="247"/>
      <c r="K411" s="333"/>
      <c r="L411" s="333"/>
      <c r="M411" s="333"/>
      <c r="N411" s="333"/>
      <c r="O411" s="333"/>
    </row>
    <row r="412" spans="1:15" ht="21" x14ac:dyDescent="0.25">
      <c r="A412" s="242" t="s">
        <v>97</v>
      </c>
      <c r="B412" s="255"/>
      <c r="C412" s="256"/>
      <c r="D412" s="257"/>
      <c r="E412" s="246"/>
      <c r="F412" s="247"/>
      <c r="G412" s="248"/>
      <c r="H412" s="248"/>
      <c r="I412" s="247"/>
      <c r="J412" s="247"/>
      <c r="K412" s="333"/>
      <c r="L412" s="333"/>
      <c r="M412" s="333"/>
      <c r="N412" s="333"/>
      <c r="O412" s="333"/>
    </row>
    <row r="413" spans="1:15" ht="21" x14ac:dyDescent="0.25">
      <c r="A413" s="242"/>
      <c r="B413" s="258"/>
      <c r="C413" s="246"/>
      <c r="D413" s="332"/>
      <c r="E413" s="246"/>
      <c r="F413" s="247"/>
      <c r="G413" s="247"/>
      <c r="H413" s="247"/>
      <c r="I413" s="247"/>
      <c r="J413" s="247"/>
      <c r="K413" s="333"/>
      <c r="L413" s="333"/>
      <c r="M413" s="333"/>
      <c r="N413" s="333"/>
      <c r="O413" s="333"/>
    </row>
    <row r="414" spans="1:15" ht="21" x14ac:dyDescent="0.25">
      <c r="A414" s="338"/>
      <c r="B414" s="258"/>
      <c r="C414" s="247"/>
      <c r="D414" s="251"/>
      <c r="E414" s="246"/>
      <c r="F414" s="247"/>
      <c r="G414" s="247"/>
      <c r="H414" s="247"/>
      <c r="I414" s="247"/>
      <c r="J414" s="247"/>
      <c r="K414" s="333"/>
      <c r="L414" s="333"/>
      <c r="M414" s="333"/>
      <c r="N414" s="333"/>
      <c r="O414" s="333"/>
    </row>
    <row r="415" spans="1:15" ht="21" x14ac:dyDescent="0.25">
      <c r="A415" s="339" t="s">
        <v>374</v>
      </c>
      <c r="B415" s="258"/>
      <c r="C415" s="250" t="s">
        <v>17</v>
      </c>
      <c r="D415" s="251"/>
      <c r="E415" s="340"/>
      <c r="F415" s="250"/>
      <c r="G415" s="247"/>
      <c r="H415" s="250" t="s">
        <v>92</v>
      </c>
      <c r="I415" s="247"/>
      <c r="J415" s="247"/>
      <c r="K415" s="333"/>
      <c r="L415" s="250" t="s">
        <v>889</v>
      </c>
      <c r="M415" s="333"/>
      <c r="N415" s="333"/>
      <c r="O415" s="333"/>
    </row>
    <row r="416" spans="1:15" ht="21" x14ac:dyDescent="0.25">
      <c r="A416" s="338" t="s">
        <v>375</v>
      </c>
      <c r="B416" s="258"/>
      <c r="C416" s="254" t="s">
        <v>348</v>
      </c>
      <c r="D416" s="251"/>
      <c r="E416" s="341"/>
      <c r="F416" s="254"/>
      <c r="G416" s="247"/>
      <c r="H416" s="254" t="s">
        <v>91</v>
      </c>
      <c r="I416" s="247"/>
      <c r="J416" s="247"/>
      <c r="K416" s="333"/>
      <c r="L416" s="254" t="s">
        <v>890</v>
      </c>
      <c r="M416" s="333"/>
      <c r="N416" s="333"/>
      <c r="O416" s="333"/>
    </row>
    <row r="417" spans="1:15" ht="21" x14ac:dyDescent="0.25">
      <c r="A417" s="242"/>
      <c r="B417" s="258"/>
      <c r="C417" s="254"/>
      <c r="D417" s="251"/>
      <c r="E417" s="341"/>
      <c r="F417" s="254"/>
      <c r="G417" s="247"/>
      <c r="H417" s="247"/>
      <c r="I417" s="247"/>
      <c r="J417" s="247"/>
      <c r="K417" s="333"/>
      <c r="L417" s="333"/>
      <c r="M417" s="333"/>
      <c r="N417" s="333"/>
      <c r="O417" s="333"/>
    </row>
    <row r="418" spans="1:15" ht="21" x14ac:dyDescent="0.25">
      <c r="A418" s="242"/>
      <c r="B418" s="258"/>
      <c r="C418" s="254"/>
      <c r="D418" s="251"/>
      <c r="E418" s="341"/>
      <c r="F418" s="254"/>
      <c r="G418" s="247"/>
      <c r="H418" s="247"/>
      <c r="I418" s="247"/>
      <c r="J418" s="247"/>
      <c r="K418" s="333"/>
      <c r="L418" s="333"/>
      <c r="M418" s="333"/>
      <c r="N418" s="333"/>
      <c r="O418" s="333"/>
    </row>
    <row r="419" spans="1:15" ht="21" x14ac:dyDescent="0.25">
      <c r="A419" s="242"/>
      <c r="B419" s="258"/>
      <c r="C419" s="254"/>
      <c r="D419" s="251"/>
      <c r="E419" s="246"/>
      <c r="F419" s="247"/>
      <c r="G419" s="247"/>
      <c r="H419" s="246"/>
      <c r="I419" s="247"/>
      <c r="J419" s="247"/>
      <c r="K419" s="333"/>
      <c r="L419" s="333"/>
      <c r="M419" s="333"/>
      <c r="N419" s="333"/>
      <c r="O419" s="333"/>
    </row>
    <row r="420" spans="1:15" ht="21" x14ac:dyDescent="0.25">
      <c r="A420" s="242" t="s">
        <v>10</v>
      </c>
      <c r="B420" s="258"/>
      <c r="C420" s="246"/>
      <c r="D420" s="251"/>
      <c r="E420" s="246"/>
      <c r="F420" s="247"/>
      <c r="G420" s="247"/>
      <c r="H420" s="247"/>
      <c r="I420" s="247"/>
      <c r="J420" s="247"/>
      <c r="K420" s="333"/>
      <c r="L420" s="333"/>
      <c r="M420" s="333"/>
      <c r="N420" s="333"/>
      <c r="O420" s="333"/>
    </row>
    <row r="421" spans="1:15" ht="21" x14ac:dyDescent="0.25">
      <c r="A421" s="342"/>
      <c r="B421" s="258"/>
      <c r="C421" s="247"/>
      <c r="D421" s="251"/>
      <c r="E421" s="246"/>
      <c r="F421" s="247"/>
      <c r="G421" s="247"/>
      <c r="H421" s="247"/>
      <c r="I421" s="247"/>
      <c r="J421" s="247"/>
      <c r="K421" s="333"/>
      <c r="L421" s="333"/>
      <c r="M421" s="333"/>
      <c r="N421" s="333"/>
      <c r="O421" s="333"/>
    </row>
    <row r="422" spans="1:15" ht="21" x14ac:dyDescent="0.25">
      <c r="A422" s="342"/>
      <c r="B422" s="258"/>
      <c r="C422" s="246"/>
      <c r="D422" s="251"/>
      <c r="E422" s="246"/>
      <c r="F422" s="247"/>
      <c r="G422" s="247"/>
      <c r="H422" s="247"/>
      <c r="I422" s="247"/>
      <c r="J422" s="247"/>
      <c r="K422" s="333"/>
      <c r="L422" s="333"/>
      <c r="M422" s="333"/>
      <c r="N422" s="333"/>
      <c r="O422" s="333"/>
    </row>
    <row r="423" spans="1:15" ht="21" x14ac:dyDescent="0.25">
      <c r="A423" s="249" t="s">
        <v>17</v>
      </c>
      <c r="B423" s="258"/>
      <c r="C423" s="250" t="s">
        <v>344</v>
      </c>
      <c r="D423" s="251"/>
      <c r="E423" s="246"/>
      <c r="F423" s="247"/>
      <c r="G423" s="247"/>
      <c r="H423" s="250" t="s">
        <v>345</v>
      </c>
      <c r="I423" s="247"/>
      <c r="J423" s="247"/>
      <c r="K423" s="333"/>
      <c r="L423" s="333"/>
      <c r="M423" s="333"/>
      <c r="N423" s="333"/>
      <c r="O423" s="333"/>
    </row>
    <row r="424" spans="1:15" ht="21" x14ac:dyDescent="0.25">
      <c r="A424" s="252" t="s">
        <v>485</v>
      </c>
      <c r="B424" s="258"/>
      <c r="C424" s="254" t="s">
        <v>347</v>
      </c>
      <c r="D424" s="251"/>
      <c r="E424" s="246"/>
      <c r="F424" s="247"/>
      <c r="G424" s="247"/>
      <c r="H424" s="254" t="s">
        <v>294</v>
      </c>
      <c r="I424" s="247"/>
      <c r="J424" s="247"/>
      <c r="K424" s="333"/>
      <c r="L424" s="333"/>
      <c r="M424" s="333"/>
      <c r="N424" s="333"/>
      <c r="O424" s="333"/>
    </row>
    <row r="425" spans="1:15" ht="21" x14ac:dyDescent="0.25">
      <c r="A425" s="252"/>
      <c r="B425" s="258"/>
      <c r="C425" s="254"/>
      <c r="D425" s="251"/>
      <c r="E425" s="246"/>
      <c r="F425" s="247"/>
      <c r="G425" s="247"/>
      <c r="H425" s="247"/>
      <c r="I425" s="247"/>
      <c r="J425" s="247"/>
      <c r="K425" s="333"/>
      <c r="L425" s="333"/>
      <c r="M425" s="333"/>
      <c r="N425" s="333"/>
      <c r="O425" s="333"/>
    </row>
    <row r="426" spans="1:15" ht="21" x14ac:dyDescent="0.25">
      <c r="A426" s="252"/>
      <c r="B426" s="258"/>
      <c r="C426" s="254"/>
      <c r="D426" s="251"/>
      <c r="E426" s="246"/>
      <c r="F426" s="247"/>
      <c r="G426" s="247"/>
      <c r="H426" s="247"/>
      <c r="I426" s="247"/>
      <c r="J426" s="247"/>
      <c r="K426" s="333"/>
      <c r="L426" s="333"/>
      <c r="M426" s="333"/>
      <c r="N426" s="333"/>
      <c r="O426" s="333"/>
    </row>
    <row r="427" spans="1:15" ht="21" x14ac:dyDescent="0.25">
      <c r="A427" s="342"/>
      <c r="B427" s="258"/>
      <c r="C427" s="246"/>
      <c r="D427" s="251"/>
      <c r="E427" s="246"/>
      <c r="F427" s="247"/>
      <c r="G427" s="247"/>
      <c r="H427" s="247"/>
      <c r="I427" s="247"/>
      <c r="J427" s="247"/>
      <c r="K427" s="333"/>
      <c r="L427" s="333"/>
      <c r="M427" s="333"/>
      <c r="N427" s="333"/>
      <c r="O427" s="333"/>
    </row>
    <row r="428" spans="1:15" ht="21" x14ac:dyDescent="0.25">
      <c r="A428" s="242" t="s">
        <v>270</v>
      </c>
      <c r="B428" s="258"/>
      <c r="C428" s="247" t="s">
        <v>11</v>
      </c>
      <c r="D428" s="251"/>
      <c r="E428" s="246"/>
      <c r="F428" s="247"/>
      <c r="G428" s="247"/>
      <c r="H428" s="247"/>
      <c r="I428" s="247"/>
      <c r="J428" s="247"/>
      <c r="K428" s="333"/>
      <c r="L428" s="333"/>
      <c r="M428" s="333"/>
      <c r="N428" s="333"/>
      <c r="O428" s="333"/>
    </row>
    <row r="429" spans="1:15" ht="21" x14ac:dyDescent="0.25">
      <c r="A429" s="242"/>
      <c r="B429" s="258"/>
      <c r="C429" s="247"/>
      <c r="D429" s="251"/>
      <c r="E429" s="246"/>
      <c r="F429" s="247"/>
      <c r="G429" s="247"/>
      <c r="H429" s="247"/>
      <c r="I429" s="247"/>
      <c r="J429" s="247"/>
      <c r="K429" s="333"/>
      <c r="L429" s="333"/>
      <c r="M429" s="333"/>
      <c r="N429" s="333"/>
      <c r="O429" s="333"/>
    </row>
    <row r="430" spans="1:15" ht="21" x14ac:dyDescent="0.25">
      <c r="A430" s="242"/>
      <c r="B430" s="258"/>
      <c r="C430" s="247"/>
      <c r="D430" s="251"/>
      <c r="E430" s="246"/>
      <c r="F430" s="247"/>
      <c r="G430" s="247"/>
      <c r="H430" s="247"/>
      <c r="I430" s="247"/>
      <c r="J430" s="247"/>
      <c r="K430" s="333"/>
      <c r="L430" s="333"/>
      <c r="M430" s="333"/>
      <c r="N430" s="333"/>
      <c r="O430" s="333"/>
    </row>
    <row r="431" spans="1:15" ht="21" x14ac:dyDescent="0.25">
      <c r="A431" s="249" t="s">
        <v>376</v>
      </c>
      <c r="B431" s="258"/>
      <c r="C431" s="264" t="s">
        <v>88</v>
      </c>
      <c r="D431" s="251"/>
      <c r="E431" s="246"/>
      <c r="F431" s="247"/>
      <c r="G431" s="247"/>
      <c r="H431" s="247"/>
      <c r="I431" s="247"/>
      <c r="J431" s="247"/>
      <c r="K431" s="333"/>
      <c r="L431" s="333"/>
      <c r="M431" s="333"/>
      <c r="N431" s="333"/>
      <c r="O431" s="333"/>
    </row>
    <row r="432" spans="1:15" ht="21" x14ac:dyDescent="0.25">
      <c r="A432" s="252" t="s">
        <v>377</v>
      </c>
      <c r="B432" s="258"/>
      <c r="C432" s="254" t="s">
        <v>16</v>
      </c>
      <c r="D432" s="251"/>
      <c r="E432" s="246"/>
      <c r="F432" s="247"/>
      <c r="G432" s="247"/>
      <c r="H432" s="247"/>
      <c r="I432" s="247"/>
      <c r="J432" s="247"/>
      <c r="K432" s="333"/>
      <c r="L432" s="333"/>
      <c r="M432" s="333"/>
      <c r="N432" s="333"/>
      <c r="O432" s="333"/>
    </row>
    <row r="433" spans="1:10" ht="21" x14ac:dyDescent="0.25">
      <c r="A433" s="260"/>
      <c r="B433" s="261"/>
      <c r="C433" s="259"/>
      <c r="D433" s="262"/>
      <c r="E433" s="259"/>
      <c r="F433" s="263"/>
      <c r="G433" s="263"/>
      <c r="H433" s="263"/>
      <c r="I433" s="263"/>
      <c r="J433" s="263"/>
    </row>
    <row r="434" spans="1:10" ht="21" x14ac:dyDescent="0.25">
      <c r="A434" s="260"/>
      <c r="B434" s="261"/>
      <c r="C434" s="259"/>
      <c r="D434" s="262"/>
      <c r="E434" s="259"/>
      <c r="F434" s="263"/>
      <c r="G434" s="263"/>
      <c r="H434" s="263"/>
      <c r="I434" s="263"/>
      <c r="J434" s="263"/>
    </row>
    <row r="435" spans="1:10" ht="21" x14ac:dyDescent="0.25">
      <c r="A435" s="260"/>
      <c r="B435" s="261"/>
      <c r="C435" s="259"/>
      <c r="D435" s="262"/>
      <c r="E435" s="259"/>
      <c r="F435" s="259"/>
      <c r="G435" s="263"/>
      <c r="H435" s="263"/>
      <c r="I435" s="263"/>
      <c r="J435" s="263"/>
    </row>
    <row r="436" spans="1:10" ht="21" x14ac:dyDescent="0.25">
      <c r="B436" s="261"/>
      <c r="C436" s="259"/>
      <c r="D436" s="262"/>
      <c r="E436" s="259"/>
      <c r="F436" s="259"/>
      <c r="G436" s="263"/>
      <c r="H436" s="263"/>
      <c r="I436" s="263"/>
      <c r="J436" s="263"/>
    </row>
    <row r="437" spans="1:10" ht="21" x14ac:dyDescent="0.25">
      <c r="B437" s="261"/>
      <c r="C437" s="259"/>
      <c r="D437" s="262"/>
      <c r="E437" s="259"/>
      <c r="F437" s="259"/>
      <c r="G437" s="263"/>
      <c r="H437" s="263"/>
      <c r="I437" s="263"/>
      <c r="J437" s="263"/>
    </row>
    <row r="438" spans="1:10" ht="21" x14ac:dyDescent="0.25">
      <c r="B438" s="261"/>
      <c r="C438" s="259"/>
      <c r="D438" s="262"/>
      <c r="E438" s="259"/>
      <c r="F438" s="259"/>
      <c r="G438" s="263"/>
      <c r="H438" s="263"/>
      <c r="I438" s="263"/>
      <c r="J438" s="263"/>
    </row>
    <row r="439" spans="1:10" ht="21" x14ac:dyDescent="0.25">
      <c r="B439" s="261"/>
      <c r="C439" s="259"/>
      <c r="D439" s="262"/>
      <c r="E439" s="259"/>
      <c r="F439" s="259"/>
      <c r="G439" s="263"/>
      <c r="H439" s="263"/>
      <c r="I439" s="263"/>
      <c r="J439" s="263"/>
    </row>
    <row r="440" spans="1:10" ht="21" x14ac:dyDescent="0.25">
      <c r="B440" s="261"/>
      <c r="C440" s="259"/>
      <c r="D440" s="262"/>
      <c r="E440" s="259"/>
      <c r="F440" s="259"/>
      <c r="G440" s="263"/>
      <c r="H440" s="263"/>
      <c r="I440" s="263"/>
      <c r="J440" s="263"/>
    </row>
    <row r="441" spans="1:10" ht="21" x14ac:dyDescent="0.25">
      <c r="A441" s="260"/>
      <c r="B441" s="261"/>
      <c r="C441" s="259"/>
      <c r="D441" s="262"/>
      <c r="E441" s="259"/>
      <c r="F441" s="259"/>
      <c r="G441" s="263"/>
      <c r="H441" s="263"/>
      <c r="I441" s="263"/>
      <c r="J441" s="263"/>
    </row>
    <row r="442" spans="1:10" ht="21" x14ac:dyDescent="0.25">
      <c r="A442" s="260"/>
      <c r="B442" s="261"/>
      <c r="C442" s="259"/>
      <c r="D442" s="262"/>
      <c r="E442" s="259"/>
      <c r="F442" s="259"/>
      <c r="G442" s="263"/>
      <c r="H442" s="263"/>
      <c r="I442" s="263"/>
      <c r="J442" s="263"/>
    </row>
    <row r="504" spans="1:15" s="105" customFormat="1" ht="100" x14ac:dyDescent="0.25">
      <c r="A504" s="265">
        <f>+A284+0.1</f>
        <v>10.199999999999999</v>
      </c>
      <c r="B504" s="287" t="s">
        <v>740</v>
      </c>
      <c r="C504" s="110">
        <v>1</v>
      </c>
      <c r="D504" s="111" t="s">
        <v>1</v>
      </c>
      <c r="E504" s="110">
        <v>2100000</v>
      </c>
      <c r="F504" s="112">
        <v>500000</v>
      </c>
      <c r="G504" s="118">
        <f>E504+F504</f>
        <v>2600000</v>
      </c>
      <c r="H504" s="114">
        <v>0</v>
      </c>
      <c r="I504" s="114">
        <v>8</v>
      </c>
      <c r="J504" s="114">
        <f>H504+I504</f>
        <v>8</v>
      </c>
      <c r="K504" s="114">
        <f>J504%*G504</f>
        <v>208000</v>
      </c>
      <c r="L504" s="114">
        <f>5%*((G504)+(K504))</f>
        <v>140400</v>
      </c>
      <c r="M504" s="114">
        <f>K504+L504</f>
        <v>348400</v>
      </c>
      <c r="N504" s="115">
        <f>ROUND(C504*(G504+M504),2)</f>
        <v>2948400</v>
      </c>
      <c r="O504" s="209">
        <f>N504/C504</f>
        <v>2948400</v>
      </c>
    </row>
    <row r="505" spans="1:15" s="105" customFormat="1" ht="60" x14ac:dyDescent="0.25">
      <c r="A505" s="265">
        <f>+A504+0.1</f>
        <v>10.299999999999999</v>
      </c>
      <c r="B505" s="287" t="s">
        <v>741</v>
      </c>
      <c r="C505" s="110">
        <v>1</v>
      </c>
      <c r="D505" s="111" t="s">
        <v>1</v>
      </c>
      <c r="E505" s="110">
        <v>40000</v>
      </c>
      <c r="F505" s="112">
        <v>5000</v>
      </c>
      <c r="G505" s="118">
        <f>E505+F505</f>
        <v>45000</v>
      </c>
      <c r="H505" s="114">
        <v>0</v>
      </c>
      <c r="I505" s="114">
        <v>8</v>
      </c>
      <c r="J505" s="114">
        <f>H505+I505</f>
        <v>8</v>
      </c>
      <c r="K505" s="114">
        <f>J505%*G505</f>
        <v>3600</v>
      </c>
      <c r="L505" s="114">
        <f>5%*((G505)+(K505))</f>
        <v>2430</v>
      </c>
      <c r="M505" s="114">
        <f>K505+L505</f>
        <v>6030</v>
      </c>
      <c r="N505" s="115">
        <f>ROUND(C505*(G505+M505),2)</f>
        <v>51030</v>
      </c>
      <c r="O505" s="209">
        <f>N505/C505</f>
        <v>51030</v>
      </c>
    </row>
    <row r="506" spans="1:15" s="105" customFormat="1" ht="21" x14ac:dyDescent="0.25">
      <c r="A506" s="198"/>
      <c r="B506" s="203"/>
      <c r="C506" s="112"/>
      <c r="D506" s="111"/>
      <c r="E506" s="112"/>
      <c r="F506" s="112"/>
      <c r="G506" s="118"/>
      <c r="H506" s="114"/>
      <c r="I506" s="114"/>
      <c r="J506" s="114"/>
      <c r="K506" s="114"/>
      <c r="L506" s="114"/>
      <c r="M506" s="191" t="s">
        <v>343</v>
      </c>
      <c r="N506" s="184">
        <f>SUM(N504:N505)</f>
        <v>2999430</v>
      </c>
      <c r="O506" s="116"/>
    </row>
  </sheetData>
  <mergeCells count="22">
    <mergeCell ref="O21:O22"/>
    <mergeCell ref="A400:B400"/>
    <mergeCell ref="C400:N400"/>
    <mergeCell ref="A401:B401"/>
    <mergeCell ref="C401:N401"/>
    <mergeCell ref="M21:M22"/>
    <mergeCell ref="N21:N22"/>
    <mergeCell ref="A21:A48"/>
    <mergeCell ref="B21:B48"/>
    <mergeCell ref="C21:C22"/>
    <mergeCell ref="D21:D22"/>
    <mergeCell ref="E21:E22"/>
    <mergeCell ref="F21:F22"/>
    <mergeCell ref="G21:G46"/>
    <mergeCell ref="H21:I21"/>
    <mergeCell ref="J21:K21"/>
    <mergeCell ref="L21:L22"/>
    <mergeCell ref="H2:I2"/>
    <mergeCell ref="H3:I3"/>
    <mergeCell ref="G4:J4"/>
    <mergeCell ref="G5:J5"/>
    <mergeCell ref="G6:J6"/>
  </mergeCells>
  <phoneticPr fontId="59" type="noConversion"/>
  <printOptions horizontalCentered="1"/>
  <pageMargins left="0.70866141732283472" right="0.70866141732283472" top="0.59055118110236227" bottom="0.59055118110236227" header="0.31496062992125984" footer="0.31496062992125984"/>
  <pageSetup paperSize="14" scale="33" fitToHeight="0" orientation="landscape" r:id="rId1"/>
  <headerFooter>
    <oddFooter>&amp;L&amp;11Project: Rehabilitation of the College of Education Building
Location: Lucinda Extension Campus, Tarlac State University
Duration: 300 Calendar Days&amp;C&amp;11Page &amp;P of &amp;[8</oddFooter>
  </headerFooter>
  <rowBreaks count="7" manualBreakCount="7">
    <brk id="89" max="14" man="1"/>
    <brk id="141" max="14" man="1"/>
    <brk id="172" max="14" man="1"/>
    <brk id="229" max="14" man="1"/>
    <brk id="301" max="14" man="1"/>
    <brk id="358" max="14" man="1"/>
    <brk id="403" max="14"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1C543A97B139440A830D52409D5C0B4" ma:contentTypeVersion="14" ma:contentTypeDescription="Create a new document." ma:contentTypeScope="" ma:versionID="e8d2b3db340767cce1f23e245c2aa5d4">
  <xsd:schema xmlns:xsd="http://www.w3.org/2001/XMLSchema" xmlns:xs="http://www.w3.org/2001/XMLSchema" xmlns:p="http://schemas.microsoft.com/office/2006/metadata/properties" xmlns:ns2="88d2cb5b-66b9-4e47-b634-6ca24813bc1f" xmlns:ns3="4dcd1eec-69c5-4090-b7c0-f661f27f340f" targetNamespace="http://schemas.microsoft.com/office/2006/metadata/properties" ma:root="true" ma:fieldsID="5881b00b6c224ee7da4c039c1a8f17bd" ns2:_="" ns3:_="">
    <xsd:import namespace="88d2cb5b-66b9-4e47-b634-6ca24813bc1f"/>
    <xsd:import namespace="4dcd1eec-69c5-4090-b7c0-f661f27f340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d2cb5b-66b9-4e47-b634-6ca24813bc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88ae16c-7ba9-48a6-8659-c1e98b63ac63"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cd1eec-69c5-4090-b7c0-f661f27f340f"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37ba9423-758b-4c5b-b379-fe136419f0ab}" ma:internalName="TaxCatchAll" ma:showField="CatchAllData" ma:web="4dcd1eec-69c5-4090-b7c0-f661f27f34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3EED0D-8FEC-46E5-AD5E-25332938D8D5}"/>
</file>

<file path=customXml/itemProps2.xml><?xml version="1.0" encoding="utf-8"?>
<ds:datastoreItem xmlns:ds="http://schemas.openxmlformats.org/officeDocument/2006/customXml" ds:itemID="{34E2B11C-1799-4A4A-8E9D-BE6D17218333}"/>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107</vt:i4>
      </vt:variant>
      <vt:variant>
        <vt:lpstr>Named Ranges</vt:lpstr>
      </vt:variant>
      <vt:variant>
        <vt:i4>6</vt:i4>
      </vt:variant>
    </vt:vector>
  </HeadingPairs>
  <TitlesOfParts>
    <vt:vector size="113" baseType="lpstr">
      <vt:lpstr>ABC</vt:lpstr>
      <vt:lpstr>BLANK BOQ</vt:lpstr>
      <vt:lpstr>7.7.</vt:lpstr>
      <vt:lpstr>7.6.</vt:lpstr>
      <vt:lpstr>7.5.</vt:lpstr>
      <vt:lpstr>7.4.</vt:lpstr>
      <vt:lpstr>7.3.</vt:lpstr>
      <vt:lpstr>7.2.</vt:lpstr>
      <vt:lpstr>7.1.</vt:lpstr>
      <vt:lpstr>6.5.</vt:lpstr>
      <vt:lpstr>6.4.</vt:lpstr>
      <vt:lpstr>6.3.</vt:lpstr>
      <vt:lpstr>6.2.</vt:lpstr>
      <vt:lpstr>6.1.</vt:lpstr>
      <vt:lpstr>5.10.</vt:lpstr>
      <vt:lpstr>5.9.</vt:lpstr>
      <vt:lpstr>5.8.</vt:lpstr>
      <vt:lpstr>5.7.</vt:lpstr>
      <vt:lpstr>5.6.</vt:lpstr>
      <vt:lpstr>5.5.</vt:lpstr>
      <vt:lpstr>5.4.</vt:lpstr>
      <vt:lpstr>5.3.</vt:lpstr>
      <vt:lpstr>5.2.</vt:lpstr>
      <vt:lpstr>5.1.</vt:lpstr>
      <vt:lpstr>4.13.</vt:lpstr>
      <vt:lpstr>4.12.7.</vt:lpstr>
      <vt:lpstr>4.12.6.</vt:lpstr>
      <vt:lpstr>4.12.5.</vt:lpstr>
      <vt:lpstr>4.12.4.</vt:lpstr>
      <vt:lpstr>4.12.3.</vt:lpstr>
      <vt:lpstr>4.12.2.</vt:lpstr>
      <vt:lpstr>4.12.1.</vt:lpstr>
      <vt:lpstr>4.11.8.</vt:lpstr>
      <vt:lpstr>4.11.7.</vt:lpstr>
      <vt:lpstr>4.11.6.</vt:lpstr>
      <vt:lpstr>4.11.5.</vt:lpstr>
      <vt:lpstr>4.11.4.</vt:lpstr>
      <vt:lpstr>4.11.3.</vt:lpstr>
      <vt:lpstr>4.11.2.</vt:lpstr>
      <vt:lpstr>4.11.1.</vt:lpstr>
      <vt:lpstr>4.10.</vt:lpstr>
      <vt:lpstr>4.9.5.</vt:lpstr>
      <vt:lpstr>4.9.4.</vt:lpstr>
      <vt:lpstr>4.9.3.</vt:lpstr>
      <vt:lpstr>4.9.2.</vt:lpstr>
      <vt:lpstr>4.9.1.</vt:lpstr>
      <vt:lpstr>4.8.3.</vt:lpstr>
      <vt:lpstr>4.8.2.</vt:lpstr>
      <vt:lpstr>4.8.1.</vt:lpstr>
      <vt:lpstr>4.7.2.</vt:lpstr>
      <vt:lpstr>4.7.1.</vt:lpstr>
      <vt:lpstr>4.6.5.</vt:lpstr>
      <vt:lpstr>4.6.4.</vt:lpstr>
      <vt:lpstr>4.6.3.</vt:lpstr>
      <vt:lpstr>4.6.2.</vt:lpstr>
      <vt:lpstr>4.6.1.</vt:lpstr>
      <vt:lpstr>4.5.4.</vt:lpstr>
      <vt:lpstr>4.5.3.</vt:lpstr>
      <vt:lpstr>4.5.2.</vt:lpstr>
      <vt:lpstr>4.5.1.</vt:lpstr>
      <vt:lpstr>4.4.4.</vt:lpstr>
      <vt:lpstr>4.4.3.</vt:lpstr>
      <vt:lpstr>4.4.2.</vt:lpstr>
      <vt:lpstr>4.4.1.</vt:lpstr>
      <vt:lpstr>4.3.3.</vt:lpstr>
      <vt:lpstr>4.3.2.</vt:lpstr>
      <vt:lpstr>4.3.1.</vt:lpstr>
      <vt:lpstr>4.2.3.</vt:lpstr>
      <vt:lpstr>4.2.2.</vt:lpstr>
      <vt:lpstr>4.2.1.</vt:lpstr>
      <vt:lpstr>4.1.3.</vt:lpstr>
      <vt:lpstr>4.1.2.</vt:lpstr>
      <vt:lpstr>4.1.1.</vt:lpstr>
      <vt:lpstr>3.8.</vt:lpstr>
      <vt:lpstr>3.7.</vt:lpstr>
      <vt:lpstr>3.6.</vt:lpstr>
      <vt:lpstr>3.5.</vt:lpstr>
      <vt:lpstr>3.4.</vt:lpstr>
      <vt:lpstr>3.3.</vt:lpstr>
      <vt:lpstr>3.2.</vt:lpstr>
      <vt:lpstr>3.1.</vt:lpstr>
      <vt:lpstr>2.4.</vt:lpstr>
      <vt:lpstr>2.3.</vt:lpstr>
      <vt:lpstr>2.2.</vt:lpstr>
      <vt:lpstr>2.1.</vt:lpstr>
      <vt:lpstr>1.4.</vt:lpstr>
      <vt:lpstr>1.3.</vt:lpstr>
      <vt:lpstr>1.2.</vt:lpstr>
      <vt:lpstr>1.1.</vt:lpstr>
      <vt:lpstr>Footings</vt:lpstr>
      <vt:lpstr>CHB Wall &amp; FTG</vt:lpstr>
      <vt:lpstr>TILES</vt:lpstr>
      <vt:lpstr>Columns</vt:lpstr>
      <vt:lpstr>Grade &amp; Tie Beams</vt:lpstr>
      <vt:lpstr>Roof Beams</vt:lpstr>
      <vt:lpstr>Trusses</vt:lpstr>
      <vt:lpstr>Masonry wall</vt:lpstr>
      <vt:lpstr>Sheet1</vt:lpstr>
      <vt:lpstr>EDUC</vt:lpstr>
      <vt:lpstr>COMPUTATION</vt:lpstr>
      <vt:lpstr>PPO Detailed Estimate</vt:lpstr>
      <vt:lpstr>IMO-PPO ESTIMATE new format</vt:lpstr>
      <vt:lpstr>IMO Detailed Estimate</vt:lpstr>
      <vt:lpstr>2blackboard</vt:lpstr>
      <vt:lpstr>3blackboard1whiteboard</vt:lpstr>
      <vt:lpstr>INITIATOR ADD ORDER REQUEST</vt:lpstr>
      <vt:lpstr>ADDITIONAL WORKS AUTHORIZATION</vt:lpstr>
      <vt:lpstr>ABC!Print_Area</vt:lpstr>
      <vt:lpstr>'ADDITIONAL WORKS AUTHORIZATION'!Print_Area</vt:lpstr>
      <vt:lpstr>EDUC!Print_Area</vt:lpstr>
      <vt:lpstr>'IMO Detailed Estimate'!Print_Area</vt:lpstr>
      <vt:lpstr>'IMO-PPO ESTIMATE new format'!Print_Area</vt:lpstr>
      <vt:lpstr>'PPO Detailed Estimate'!Print_Area</vt:lpstr>
    </vt:vector>
  </TitlesOfParts>
  <Company>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RAED</dc:creator>
  <cp:lastModifiedBy>Microsoft Office User</cp:lastModifiedBy>
  <cp:lastPrinted>2023-04-13T08:28:24Z</cp:lastPrinted>
  <dcterms:created xsi:type="dcterms:W3CDTF">2006-08-15T17:29:26Z</dcterms:created>
  <dcterms:modified xsi:type="dcterms:W3CDTF">2023-05-18T06:58:15Z</dcterms:modified>
</cp:coreProperties>
</file>